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DBAC82C2-83F0-407D-9B2B-6C7C68CCEFC6}" xr6:coauthVersionLast="45" xr6:coauthVersionMax="45" xr10:uidLastSave="{00000000-0000-0000-0000-000000000000}"/>
  <bookViews>
    <workbookView xWindow="-120" yWindow="-120" windowWidth="24240" windowHeight="13140" tabRatio="978" xr2:uid="{00000000-000D-0000-FFFF-FFFF00000000}"/>
  </bookViews>
  <sheets>
    <sheet name="SAMPLE PAYE COMPUTATION" sheetId="27" r:id="rId1"/>
    <sheet name="SUMMARY" sheetId="26" r:id="rId2"/>
    <sheet name="MONTHLY PAYROLL" sheetId="6" r:id="rId3"/>
    <sheet name="ANNUAL PAYROLL-MASTER" sheetId="3" r:id="rId4"/>
    <sheet name="TO BANK" sheetId="8" r:id="rId5"/>
    <sheet name="SEC PAYSLIP" sheetId="5" r:id="rId6"/>
    <sheet name="RULE" sheetId="7" r:id="rId7"/>
    <sheet name="PENSION" sheetId="16" r:id="rId8"/>
    <sheet name="PAYE" sheetId="12" r:id="rId9"/>
    <sheet name="NSITF" sheetId="13" r:id="rId10"/>
  </sheets>
  <externalReferences>
    <externalReference r:id="rId11"/>
    <externalReference r:id="rId12"/>
  </externalReferences>
  <definedNames>
    <definedName name="abu">'MONTHLY PAYROLL'!#REF!</definedName>
    <definedName name="ABUA">'ANNUAL PAYROLL-MASTER'!#REF!</definedName>
    <definedName name="aq">#REF!</definedName>
    <definedName name="dep">'MONTHLY PAYROLL'!#REF!</definedName>
    <definedName name="DEPA">'ANNUAL PAYROLL-MASTER'!#REF!</definedName>
    <definedName name="EO">'[1]MASTER FILE- EOCSL'!$C$1:$Y$65536</definedName>
    <definedName name="ff">'[1]BANK SCHEDULE - EOSC -L'!$C$1:$F$65536</definedName>
    <definedName name="HO">'MONTHLY PAYROLL'!#REF!</definedName>
    <definedName name="HOA">'ANNUAL PAYROLL-MASTER'!#REF!</definedName>
    <definedName name="JunEEL">'[1]BANK SCHEDULE- EEL Jun 2016'!$C:$G</definedName>
    <definedName name="JunEOCS">'[1]BANK SCHEDULE - EOCS Jun 2016'!$C:$F</definedName>
    <definedName name="kk">'[1]BANK SCHEDULE- EEL-L'!$C:$E</definedName>
    <definedName name="KL">#REF!</definedName>
    <definedName name="ll">#REF!</definedName>
    <definedName name="MA">'ANNUAL PAYROLL-MASTER'!$A1048573:$BG19</definedName>
    <definedName name="MO">'MONTHLY PAYROLL'!$A:$AI</definedName>
    <definedName name="nOL">'MONTHLY PAYROLL'!#REF!</definedName>
    <definedName name="nola">'ANNUAL PAYROLL-MASTER'!#REF!</definedName>
    <definedName name="_xlnm.Print_Area" localSheetId="2">'MONTHLY PAYROLL'!$A$1:$AI$32</definedName>
    <definedName name="_xlnm.Print_Area" localSheetId="9">NSITF!$A$1:$F$31</definedName>
    <definedName name="_xlnm.Print_Area" localSheetId="4">'TO BANK'!$A$1:$G$53</definedName>
    <definedName name="_xlnm.Print_Area">#REF!</definedName>
    <definedName name="sec">'MONTHLY PAYROLL'!$A$5:$AI$25</definedName>
    <definedName name="SECA">'ANNUAL PAYROLL-MASTER'!$A$4:$BG$50</definedName>
    <definedName name="sgi">'MONTHLY PAYROLL'!#REF!</definedName>
    <definedName name="sgia">'ANNUAL PAYROLL-MASTER'!#REF!</definedName>
    <definedName name="vv">#REF!</definedName>
    <definedName name="ww">'[2]BANK SCHEDULE- EEL Jun 2016'!$C:$G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2" i="27" l="1"/>
  <c r="F35" i="27"/>
  <c r="F34" i="27"/>
  <c r="F33" i="27"/>
  <c r="E25" i="27"/>
  <c r="G32" i="27"/>
  <c r="G30" i="27"/>
  <c r="G31" i="27" s="1"/>
  <c r="G28" i="27"/>
  <c r="G29" i="27" s="1"/>
  <c r="D31" i="27"/>
  <c r="D30" i="27"/>
  <c r="E14" i="27" l="1"/>
  <c r="D37" i="27" s="1"/>
  <c r="D28" i="27"/>
  <c r="D29" i="27"/>
  <c r="B20" i="27"/>
  <c r="C22" i="27" s="1"/>
  <c r="E26" i="27" s="1"/>
  <c r="D33" i="27" s="1"/>
  <c r="B21" i="27"/>
  <c r="C23" i="27"/>
  <c r="W12" i="3"/>
  <c r="W11" i="3"/>
  <c r="W10" i="3"/>
  <c r="N10" i="3" s="1"/>
  <c r="M15" i="3"/>
  <c r="N15" i="3"/>
  <c r="O15" i="3"/>
  <c r="P15" i="3"/>
  <c r="Q15" i="3"/>
  <c r="R15" i="3"/>
  <c r="S15" i="3"/>
  <c r="T15" i="3"/>
  <c r="U15" i="3"/>
  <c r="V15" i="3"/>
  <c r="M14" i="3"/>
  <c r="AE14" i="3" s="1"/>
  <c r="AL14" i="3" s="1"/>
  <c r="N14" i="3"/>
  <c r="O14" i="3"/>
  <c r="P14" i="3"/>
  <c r="Q14" i="3"/>
  <c r="R14" i="3"/>
  <c r="S14" i="3"/>
  <c r="T14" i="3"/>
  <c r="U14" i="3"/>
  <c r="V14" i="3"/>
  <c r="M13" i="3"/>
  <c r="N13" i="3"/>
  <c r="O13" i="3"/>
  <c r="P13" i="3"/>
  <c r="Q13" i="3"/>
  <c r="R13" i="3"/>
  <c r="S13" i="3"/>
  <c r="T13" i="3"/>
  <c r="U13" i="3"/>
  <c r="V13" i="3"/>
  <c r="M12" i="3"/>
  <c r="N12" i="3"/>
  <c r="AE12" i="3" s="1"/>
  <c r="O12" i="3"/>
  <c r="P12" i="3"/>
  <c r="Q12" i="3"/>
  <c r="R12" i="3"/>
  <c r="S12" i="3"/>
  <c r="T12" i="3"/>
  <c r="U12" i="3"/>
  <c r="V12" i="3"/>
  <c r="M10" i="3"/>
  <c r="O10" i="3"/>
  <c r="Q10" i="3"/>
  <c r="S10" i="3"/>
  <c r="U10" i="3"/>
  <c r="AJ15" i="3"/>
  <c r="AK15" i="3"/>
  <c r="AE15" i="3"/>
  <c r="AL15" i="3" s="1"/>
  <c r="BC15" i="3"/>
  <c r="AJ14" i="3"/>
  <c r="AK14" i="3"/>
  <c r="BC14" i="3"/>
  <c r="AJ13" i="3"/>
  <c r="AK13" i="3"/>
  <c r="AE13" i="3"/>
  <c r="AL13" i="3" s="1"/>
  <c r="BC13" i="3"/>
  <c r="BD13" i="3" s="1"/>
  <c r="AJ12" i="3"/>
  <c r="AK12" i="3"/>
  <c r="AL12" i="3"/>
  <c r="BC12" i="3"/>
  <c r="AK11" i="3"/>
  <c r="BC11" i="3"/>
  <c r="AJ10" i="3"/>
  <c r="AK10" i="3"/>
  <c r="BC10" i="3"/>
  <c r="B23" i="8"/>
  <c r="B24" i="8"/>
  <c r="B25" i="8" s="1"/>
  <c r="B26" i="8" s="1"/>
  <c r="B27" i="8" s="1"/>
  <c r="B28" i="8" s="1"/>
  <c r="B29" i="8" s="1"/>
  <c r="B30" i="8" s="1"/>
  <c r="B31" i="8" s="1"/>
  <c r="B32" i="8"/>
  <c r="A6" i="6"/>
  <c r="A7" i="6"/>
  <c r="A8" i="6"/>
  <c r="B5" i="6"/>
  <c r="C5" i="6"/>
  <c r="D5" i="6"/>
  <c r="E5" i="6"/>
  <c r="F5" i="6"/>
  <c r="G5" i="6"/>
  <c r="H5" i="6"/>
  <c r="W4" i="3"/>
  <c r="M4" i="3" s="1"/>
  <c r="N4" i="3"/>
  <c r="J5" i="6" s="1"/>
  <c r="P4" i="3"/>
  <c r="L5" i="6" s="1"/>
  <c r="R4" i="3"/>
  <c r="N5" i="6" s="1"/>
  <c r="T4" i="3"/>
  <c r="P5" i="6" s="1"/>
  <c r="V4" i="3"/>
  <c r="R5" i="6" s="1"/>
  <c r="Y5" i="6"/>
  <c r="Z5" i="6"/>
  <c r="AJ4" i="3"/>
  <c r="AO4" i="3"/>
  <c r="BC4" i="3"/>
  <c r="BE4" i="3"/>
  <c r="A5" i="3"/>
  <c r="W5" i="3"/>
  <c r="AJ5" i="3"/>
  <c r="AO5" i="3"/>
  <c r="BE5" i="3"/>
  <c r="M6" i="3"/>
  <c r="N6" i="3"/>
  <c r="O6" i="3"/>
  <c r="P6" i="3"/>
  <c r="Q6" i="3"/>
  <c r="R6" i="3"/>
  <c r="S6" i="3"/>
  <c r="T6" i="3"/>
  <c r="U6" i="3"/>
  <c r="V6" i="3"/>
  <c r="AJ6" i="3"/>
  <c r="AK6" i="3"/>
  <c r="AE6" i="3"/>
  <c r="AL6" i="3" s="1"/>
  <c r="AR6" i="3" s="1"/>
  <c r="AO6" i="3"/>
  <c r="AS6" i="3"/>
  <c r="BC6" i="3"/>
  <c r="BE6" i="3"/>
  <c r="W7" i="3"/>
  <c r="BC7" i="3" s="1"/>
  <c r="BD7" i="3" s="1"/>
  <c r="AO7" i="3"/>
  <c r="BE7" i="3"/>
  <c r="W8" i="3"/>
  <c r="M8" i="3"/>
  <c r="AE8" i="3" s="1"/>
  <c r="AL8" i="3" s="1"/>
  <c r="N8" i="3"/>
  <c r="O8" i="3"/>
  <c r="P8" i="3"/>
  <c r="Q8" i="3"/>
  <c r="R8" i="3"/>
  <c r="S8" i="3"/>
  <c r="T8" i="3"/>
  <c r="U8" i="3"/>
  <c r="V8" i="3"/>
  <c r="AJ8" i="3"/>
  <c r="AK8" i="3"/>
  <c r="AR8" i="3" s="1"/>
  <c r="AS8" i="3" s="1"/>
  <c r="AO8" i="3"/>
  <c r="BC8" i="3"/>
  <c r="BE8" i="3"/>
  <c r="M9" i="3"/>
  <c r="N9" i="3"/>
  <c r="O9" i="3"/>
  <c r="P9" i="3"/>
  <c r="Q9" i="3"/>
  <c r="R9" i="3"/>
  <c r="S9" i="3"/>
  <c r="T9" i="3"/>
  <c r="U9" i="3"/>
  <c r="V9" i="3"/>
  <c r="AJ9" i="3"/>
  <c r="AK9" i="3"/>
  <c r="AE9" i="3"/>
  <c r="AL9" i="3" s="1"/>
  <c r="AO9" i="3"/>
  <c r="BC9" i="3"/>
  <c r="BD9" i="3" s="1"/>
  <c r="BE9" i="3"/>
  <c r="AO10" i="3"/>
  <c r="BE10" i="3"/>
  <c r="AO11" i="3"/>
  <c r="BE11" i="3"/>
  <c r="AO12" i="3"/>
  <c r="BE12" i="3"/>
  <c r="AO13" i="3"/>
  <c r="BE13" i="3"/>
  <c r="AO14" i="3"/>
  <c r="BE14" i="3"/>
  <c r="AO15" i="3"/>
  <c r="BE15" i="3"/>
  <c r="BD15" i="3"/>
  <c r="BD14" i="3"/>
  <c r="BD12" i="3"/>
  <c r="BD11" i="3"/>
  <c r="BD10" i="3"/>
  <c r="BD4" i="3"/>
  <c r="BD6" i="3"/>
  <c r="BD8" i="3"/>
  <c r="B30" i="5"/>
  <c r="B31" i="5"/>
  <c r="B32" i="5"/>
  <c r="B36" i="5"/>
  <c r="B37" i="5"/>
  <c r="B38" i="5"/>
  <c r="A1" i="26"/>
  <c r="A1" i="3" s="1"/>
  <c r="B27" i="6"/>
  <c r="C27" i="6"/>
  <c r="D27" i="6" s="1"/>
  <c r="E27" i="6" s="1"/>
  <c r="F27" i="6" s="1"/>
  <c r="G27" i="6" s="1"/>
  <c r="H27" i="6" s="1"/>
  <c r="I27" i="6"/>
  <c r="J27" i="6" s="1"/>
  <c r="K27" i="6" s="1"/>
  <c r="L27" i="6" s="1"/>
  <c r="M27" i="6" s="1"/>
  <c r="N27" i="6" s="1"/>
  <c r="O27" i="6"/>
  <c r="P27" i="6" s="1"/>
  <c r="Q27" i="6" s="1"/>
  <c r="R27" i="6" s="1"/>
  <c r="S27" i="6" s="1"/>
  <c r="T27" i="6" s="1"/>
  <c r="U27" i="6" s="1"/>
  <c r="V27" i="6" s="1"/>
  <c r="W27" i="6" s="1"/>
  <c r="X27" i="6" s="1"/>
  <c r="Y27" i="6" s="1"/>
  <c r="Z27" i="6" s="1"/>
  <c r="AA27" i="6" s="1"/>
  <c r="AB27" i="6" s="1"/>
  <c r="AC27" i="6" s="1"/>
  <c r="AD27" i="6" s="1"/>
  <c r="AE27" i="6" s="1"/>
  <c r="AF27" i="6" s="1"/>
  <c r="AG27" i="6" s="1"/>
  <c r="AH27" i="6" s="1"/>
  <c r="AI27" i="6" s="1"/>
  <c r="A7" i="13"/>
  <c r="A3" i="13"/>
  <c r="A1" i="13"/>
  <c r="A7" i="12"/>
  <c r="A3" i="12"/>
  <c r="A1" i="12"/>
  <c r="A5" i="16"/>
  <c r="A6" i="16"/>
  <c r="A2" i="16"/>
  <c r="A1" i="16"/>
  <c r="A8" i="13"/>
  <c r="A8" i="12"/>
  <c r="A9" i="13"/>
  <c r="A10" i="13" s="1"/>
  <c r="A11" i="13"/>
  <c r="A1" i="5"/>
  <c r="C6" i="8"/>
  <c r="D20" i="8"/>
  <c r="AD26" i="6"/>
  <c r="AC26" i="6"/>
  <c r="AB26" i="6"/>
  <c r="V26" i="6"/>
  <c r="U26" i="6"/>
  <c r="S26" i="6"/>
  <c r="X26" i="6"/>
  <c r="W26" i="6"/>
  <c r="B20" i="3"/>
  <c r="C20" i="3"/>
  <c r="D20" i="3" s="1"/>
  <c r="E20" i="3" s="1"/>
  <c r="F20" i="3" s="1"/>
  <c r="G20" i="3" s="1"/>
  <c r="H20" i="3" s="1"/>
  <c r="I20" i="3" s="1"/>
  <c r="M20" i="3"/>
  <c r="N20" i="3"/>
  <c r="O20" i="3" s="1"/>
  <c r="P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AA20" i="3" s="1"/>
  <c r="AB20" i="3" s="1"/>
  <c r="AC20" i="3" s="1"/>
  <c r="AD20" i="3" s="1"/>
  <c r="AE20" i="3" s="1"/>
  <c r="AF20" i="3" s="1"/>
  <c r="AG20" i="3" s="1"/>
  <c r="AH20" i="3" s="1"/>
  <c r="AI20" i="3" s="1"/>
  <c r="AJ20" i="3" s="1"/>
  <c r="AK20" i="3" s="1"/>
  <c r="AL20" i="3" s="1"/>
  <c r="AM20" i="3" s="1"/>
  <c r="AN20" i="3" s="1"/>
  <c r="AO20" i="3" s="1"/>
  <c r="AP20" i="3" s="1"/>
  <c r="AQ20" i="3" s="1"/>
  <c r="AR20" i="3" s="1"/>
  <c r="AS20" i="3" s="1"/>
  <c r="AT20" i="3" s="1"/>
  <c r="AU20" i="3" s="1"/>
  <c r="AV20" i="3" s="1"/>
  <c r="AW20" i="3" s="1"/>
  <c r="AX20" i="3" s="1"/>
  <c r="AY20" i="3" s="1"/>
  <c r="AZ20" i="3" s="1"/>
  <c r="BA20" i="3" s="1"/>
  <c r="BB20" i="3" s="1"/>
  <c r="BC20" i="3" s="1"/>
  <c r="BD20" i="3" s="1"/>
  <c r="BE20" i="3" s="1"/>
  <c r="BF20" i="3" s="1"/>
  <c r="BG20" i="3" s="1"/>
  <c r="D4" i="16"/>
  <c r="C4" i="16"/>
  <c r="AT19" i="3"/>
  <c r="AQ19" i="3"/>
  <c r="AP19" i="3"/>
  <c r="AN19" i="3"/>
  <c r="AM19" i="3"/>
  <c r="AI19" i="3"/>
  <c r="AH19" i="3"/>
  <c r="AD19" i="3"/>
  <c r="AC19" i="3"/>
  <c r="AB19" i="3"/>
  <c r="Y19" i="3"/>
  <c r="X19" i="3"/>
  <c r="Z19" i="3"/>
  <c r="C6" i="13"/>
  <c r="E4" i="16"/>
  <c r="C6" i="12"/>
  <c r="B4" i="16"/>
  <c r="B6" i="13"/>
  <c r="B6" i="12"/>
  <c r="C22" i="8"/>
  <c r="E22" i="8"/>
  <c r="D22" i="8"/>
  <c r="B8" i="5"/>
  <c r="W2" i="3"/>
  <c r="BE19" i="3"/>
  <c r="AR3" i="3"/>
  <c r="AO19" i="3"/>
  <c r="AF2" i="3"/>
  <c r="W19" i="3"/>
  <c r="M7" i="3" l="1"/>
  <c r="O7" i="3"/>
  <c r="Q7" i="3"/>
  <c r="S7" i="3"/>
  <c r="U7" i="3"/>
  <c r="AK7" i="3"/>
  <c r="P7" i="3"/>
  <c r="N7" i="3"/>
  <c r="V7" i="3"/>
  <c r="AJ7" i="3"/>
  <c r="T7" i="3"/>
  <c r="R7" i="3"/>
  <c r="AX8" i="3"/>
  <c r="AU8" i="3"/>
  <c r="BA8" i="3" s="1"/>
  <c r="AY8" i="3"/>
  <c r="AV8" i="3"/>
  <c r="AZ8" i="3"/>
  <c r="AW8" i="3"/>
  <c r="A12" i="13"/>
  <c r="A9" i="12"/>
  <c r="A7" i="16"/>
  <c r="K7" i="6"/>
  <c r="AU6" i="3"/>
  <c r="AY6" i="3"/>
  <c r="AV6" i="3"/>
  <c r="AZ6" i="3"/>
  <c r="AW6" i="3"/>
  <c r="AX6" i="3"/>
  <c r="AR9" i="3"/>
  <c r="AS9" i="3" s="1"/>
  <c r="B6" i="6"/>
  <c r="F6" i="6"/>
  <c r="C7" i="6"/>
  <c r="C6" i="6"/>
  <c r="B7" i="5" s="1"/>
  <c r="G6" i="6"/>
  <c r="O6" i="6"/>
  <c r="B21" i="5" s="1"/>
  <c r="Y6" i="6"/>
  <c r="H7" i="6"/>
  <c r="D6" i="16" s="1"/>
  <c r="P7" i="6"/>
  <c r="D6" i="6"/>
  <c r="H6" i="6"/>
  <c r="Z6" i="6"/>
  <c r="A6" i="3"/>
  <c r="E7" i="6"/>
  <c r="D24" i="8" s="1"/>
  <c r="E6" i="6"/>
  <c r="I7" i="6"/>
  <c r="P6" i="6"/>
  <c r="R6" i="6"/>
  <c r="F7" i="6"/>
  <c r="E24" i="8" s="1"/>
  <c r="B33" i="8"/>
  <c r="I5" i="6"/>
  <c r="A9" i="6"/>
  <c r="AR15" i="3"/>
  <c r="AS15" i="3" s="1"/>
  <c r="M5" i="3"/>
  <c r="O5" i="3"/>
  <c r="K6" i="6" s="1"/>
  <c r="B17" i="5" s="1"/>
  <c r="Q5" i="3"/>
  <c r="M6" i="6" s="1"/>
  <c r="B19" i="5" s="1"/>
  <c r="S5" i="3"/>
  <c r="U5" i="3"/>
  <c r="Q6" i="6" s="1"/>
  <c r="B23" i="5" s="1"/>
  <c r="AK5" i="3"/>
  <c r="BC5" i="3"/>
  <c r="N5" i="3"/>
  <c r="P5" i="3"/>
  <c r="R5" i="3"/>
  <c r="R19" i="3" s="1"/>
  <c r="T5" i="3"/>
  <c r="V5" i="3"/>
  <c r="AR13" i="3"/>
  <c r="AS13" i="3" s="1"/>
  <c r="AR14" i="3"/>
  <c r="AS14" i="3" s="1"/>
  <c r="M11" i="3"/>
  <c r="O11" i="3"/>
  <c r="Q11" i="3"/>
  <c r="S11" i="3"/>
  <c r="U11" i="3"/>
  <c r="N11" i="3"/>
  <c r="P11" i="3"/>
  <c r="R11" i="3"/>
  <c r="T11" i="3"/>
  <c r="V11" i="3"/>
  <c r="AJ11" i="3"/>
  <c r="D34" i="27"/>
  <c r="AK4" i="3"/>
  <c r="U4" i="3"/>
  <c r="S4" i="3"/>
  <c r="Q4" i="3"/>
  <c r="O4" i="3"/>
  <c r="AE10" i="3"/>
  <c r="AL10" i="3" s="1"/>
  <c r="AR10" i="3" s="1"/>
  <c r="AS10" i="3" s="1"/>
  <c r="AR12" i="3"/>
  <c r="AS12" i="3" s="1"/>
  <c r="V10" i="3"/>
  <c r="T10" i="3"/>
  <c r="R10" i="3"/>
  <c r="P10" i="3"/>
  <c r="O5" i="6" l="1"/>
  <c r="S19" i="3"/>
  <c r="AW14" i="3"/>
  <c r="AX14" i="3"/>
  <c r="AU14" i="3"/>
  <c r="AY14" i="3"/>
  <c r="AV14" i="3"/>
  <c r="AZ14" i="3"/>
  <c r="P19" i="3"/>
  <c r="L6" i="6"/>
  <c r="B24" i="5"/>
  <c r="A7" i="3"/>
  <c r="B6" i="5"/>
  <c r="B7" i="13"/>
  <c r="B5" i="16"/>
  <c r="N7" i="6"/>
  <c r="D7" i="6"/>
  <c r="E23" i="8"/>
  <c r="B48" i="5"/>
  <c r="BA6" i="3"/>
  <c r="B7" i="12"/>
  <c r="A10" i="12"/>
  <c r="AJ19" i="3"/>
  <c r="AX12" i="3"/>
  <c r="AU12" i="3"/>
  <c r="AY12" i="3"/>
  <c r="AV12" i="3"/>
  <c r="AW12" i="3"/>
  <c r="AZ12" i="3"/>
  <c r="T5" i="6"/>
  <c r="C5" i="16"/>
  <c r="B50" i="5"/>
  <c r="BB8" i="3"/>
  <c r="BF8" i="3" s="1"/>
  <c r="AX10" i="3"/>
  <c r="AU10" i="3"/>
  <c r="BA10" i="3" s="1"/>
  <c r="AY10" i="3"/>
  <c r="AV10" i="3"/>
  <c r="AW10" i="3"/>
  <c r="AZ10" i="3"/>
  <c r="AU13" i="3"/>
  <c r="AY13" i="3"/>
  <c r="AV13" i="3"/>
  <c r="AZ13" i="3"/>
  <c r="AW13" i="3"/>
  <c r="AX13" i="3"/>
  <c r="K5" i="6"/>
  <c r="O19" i="3"/>
  <c r="AE11" i="3"/>
  <c r="AL11" i="3" s="1"/>
  <c r="V19" i="3"/>
  <c r="N19" i="3"/>
  <c r="AE5" i="3"/>
  <c r="M19" i="3"/>
  <c r="A10" i="6"/>
  <c r="J8" i="6"/>
  <c r="Y7" i="6"/>
  <c r="J6" i="6"/>
  <c r="O7" i="6"/>
  <c r="Z8" i="6"/>
  <c r="E8" i="6"/>
  <c r="D25" i="8" s="1"/>
  <c r="N6" i="6"/>
  <c r="AE7" i="6"/>
  <c r="F6" i="16" s="1"/>
  <c r="G6" i="16" s="1"/>
  <c r="H6" i="16" s="1"/>
  <c r="L7" i="6"/>
  <c r="B33" i="5"/>
  <c r="Z7" i="6"/>
  <c r="E5" i="16"/>
  <c r="B5" i="5"/>
  <c r="C23" i="8"/>
  <c r="C7" i="13"/>
  <c r="D8" i="6"/>
  <c r="B9" i="13" s="1"/>
  <c r="C7" i="12"/>
  <c r="A13" i="13"/>
  <c r="AE7" i="3"/>
  <c r="AL7" i="3" s="1"/>
  <c r="AR7" i="3" s="1"/>
  <c r="AS7" i="3" s="1"/>
  <c r="AR11" i="3"/>
  <c r="AS11" i="3" s="1"/>
  <c r="B22" i="5"/>
  <c r="D5" i="16"/>
  <c r="B51" i="5"/>
  <c r="Q5" i="6"/>
  <c r="U19" i="3"/>
  <c r="AK19" i="3"/>
  <c r="M5" i="6"/>
  <c r="Q19" i="3"/>
  <c r="D35" i="27"/>
  <c r="T19" i="3"/>
  <c r="BD5" i="3"/>
  <c r="BD19" i="3" s="1"/>
  <c r="BC19" i="3"/>
  <c r="AU15" i="3"/>
  <c r="BA15" i="3" s="1"/>
  <c r="AY15" i="3"/>
  <c r="AV15" i="3"/>
  <c r="AZ15" i="3"/>
  <c r="AW15" i="3"/>
  <c r="AX15" i="3"/>
  <c r="AE4" i="3"/>
  <c r="K8" i="6"/>
  <c r="H8" i="6"/>
  <c r="D7" i="16" s="1"/>
  <c r="M7" i="6"/>
  <c r="O8" i="6"/>
  <c r="B7" i="6"/>
  <c r="Q8" i="6"/>
  <c r="Q7" i="6"/>
  <c r="D23" i="8"/>
  <c r="B47" i="5"/>
  <c r="B34" i="5"/>
  <c r="R7" i="6"/>
  <c r="J7" i="6"/>
  <c r="T7" i="6" s="1"/>
  <c r="I6" i="6"/>
  <c r="G7" i="6"/>
  <c r="C6" i="16" s="1"/>
  <c r="AU9" i="3"/>
  <c r="AY9" i="3"/>
  <c r="AV9" i="3"/>
  <c r="AZ9" i="3"/>
  <c r="AW9" i="3"/>
  <c r="AX9" i="3"/>
  <c r="P8" i="6"/>
  <c r="B7" i="16"/>
  <c r="A8" i="16"/>
  <c r="AW7" i="3" l="1"/>
  <c r="AX7" i="3"/>
  <c r="AY7" i="3"/>
  <c r="AU7" i="3"/>
  <c r="AZ7" i="3"/>
  <c r="AV7" i="3"/>
  <c r="D8" i="13"/>
  <c r="E8" i="13" s="1"/>
  <c r="BG8" i="3"/>
  <c r="AA8" i="3"/>
  <c r="AF8" i="3" s="1"/>
  <c r="AG8" i="3" s="1"/>
  <c r="BB15" i="3"/>
  <c r="BF15" i="3"/>
  <c r="BB10" i="3"/>
  <c r="BF10" i="3" s="1"/>
  <c r="D6" i="13"/>
  <c r="B18" i="5"/>
  <c r="C8" i="13"/>
  <c r="C24" i="8"/>
  <c r="C8" i="12"/>
  <c r="E6" i="16"/>
  <c r="A11" i="6"/>
  <c r="BA12" i="3"/>
  <c r="A11" i="12"/>
  <c r="A8" i="3"/>
  <c r="B8" i="6"/>
  <c r="N8" i="6"/>
  <c r="C8" i="6"/>
  <c r="F8" i="6"/>
  <c r="E25" i="8" s="1"/>
  <c r="L8" i="6"/>
  <c r="R8" i="6"/>
  <c r="I8" i="6"/>
  <c r="T8" i="6" s="1"/>
  <c r="AE8" i="6"/>
  <c r="F7" i="16" s="1"/>
  <c r="G7" i="16" s="1"/>
  <c r="H7" i="16" s="1"/>
  <c r="G8" i="6"/>
  <c r="C7" i="16" s="1"/>
  <c r="M8" i="6"/>
  <c r="BA14" i="3"/>
  <c r="AL5" i="3"/>
  <c r="AR5" i="3" s="1"/>
  <c r="AS5" i="3" s="1"/>
  <c r="AE6" i="6"/>
  <c r="B9" i="12"/>
  <c r="BA9" i="3"/>
  <c r="AE5" i="6"/>
  <c r="AL4" i="3"/>
  <c r="AE19" i="3"/>
  <c r="B8" i="13"/>
  <c r="B8" i="12"/>
  <c r="B6" i="16"/>
  <c r="T6" i="6"/>
  <c r="B15" i="5"/>
  <c r="A9" i="16"/>
  <c r="AV11" i="3"/>
  <c r="AZ11" i="3"/>
  <c r="AW11" i="3"/>
  <c r="AU11" i="3"/>
  <c r="AX11" i="3"/>
  <c r="AY11" i="3"/>
  <c r="A14" i="13"/>
  <c r="B20" i="5"/>
  <c r="B16" i="5"/>
  <c r="BA13" i="3"/>
  <c r="BB6" i="3"/>
  <c r="BF6" i="3" s="1"/>
  <c r="Y8" i="6"/>
  <c r="BG10" i="3" l="1"/>
  <c r="AA10" i="3"/>
  <c r="AF10" i="3" s="1"/>
  <c r="AG10" i="3" s="1"/>
  <c r="BG6" i="3"/>
  <c r="AA7" i="6" s="1"/>
  <c r="AA6" i="3"/>
  <c r="AF6" i="3" s="1"/>
  <c r="AG6" i="3" s="1"/>
  <c r="BB14" i="3"/>
  <c r="BF14" i="3" s="1"/>
  <c r="E6" i="13"/>
  <c r="BB13" i="3"/>
  <c r="BF13" i="3"/>
  <c r="A10" i="16"/>
  <c r="B28" i="5"/>
  <c r="AL19" i="3"/>
  <c r="AR4" i="3"/>
  <c r="B39" i="5"/>
  <c r="F5" i="16"/>
  <c r="G5" i="16" s="1"/>
  <c r="H5" i="16" s="1"/>
  <c r="BB12" i="3"/>
  <c r="BF12" i="3"/>
  <c r="L10" i="6"/>
  <c r="A12" i="6"/>
  <c r="C10" i="6"/>
  <c r="BA11" i="3"/>
  <c r="D7" i="13"/>
  <c r="E7" i="13" s="1"/>
  <c r="F4" i="16"/>
  <c r="AW5" i="3"/>
  <c r="AX5" i="3"/>
  <c r="AU5" i="3"/>
  <c r="AY5" i="3"/>
  <c r="AV5" i="3"/>
  <c r="AZ5" i="3"/>
  <c r="C9" i="13"/>
  <c r="C25" i="8"/>
  <c r="C9" i="12"/>
  <c r="E7" i="16"/>
  <c r="BG15" i="3"/>
  <c r="AA15" i="3"/>
  <c r="AF15" i="3" s="1"/>
  <c r="AG15" i="3" s="1"/>
  <c r="BA7" i="3"/>
  <c r="D9" i="13"/>
  <c r="E9" i="13" s="1"/>
  <c r="A15" i="13"/>
  <c r="BB9" i="3"/>
  <c r="BF9" i="3" s="1"/>
  <c r="A9" i="3"/>
  <c r="Y10" i="6" s="1"/>
  <c r="K9" i="6"/>
  <c r="Q9" i="6"/>
  <c r="Z9" i="6"/>
  <c r="F9" i="6"/>
  <c r="E26" i="8" s="1"/>
  <c r="R9" i="6"/>
  <c r="H9" i="6"/>
  <c r="D8" i="16" s="1"/>
  <c r="I9" i="6"/>
  <c r="E9" i="6"/>
  <c r="D26" i="8" s="1"/>
  <c r="C9" i="6"/>
  <c r="D9" i="6"/>
  <c r="Y9" i="6"/>
  <c r="AA9" i="6"/>
  <c r="D10" i="12" s="1"/>
  <c r="L9" i="6"/>
  <c r="AE9" i="6"/>
  <c r="F8" i="16" s="1"/>
  <c r="G8" i="16" s="1"/>
  <c r="H8" i="16" s="1"/>
  <c r="J9" i="6"/>
  <c r="O9" i="6"/>
  <c r="P9" i="6"/>
  <c r="G9" i="6"/>
  <c r="C8" i="16" s="1"/>
  <c r="M9" i="6"/>
  <c r="N9" i="6"/>
  <c r="B9" i="6"/>
  <c r="A12" i="12"/>
  <c r="P10" i="6"/>
  <c r="H10" i="6"/>
  <c r="D9" i="16" s="1"/>
  <c r="AG10" i="6" l="1"/>
  <c r="AA9" i="3"/>
  <c r="AF9" i="3" s="1"/>
  <c r="AG9" i="3" s="1"/>
  <c r="BG9" i="3"/>
  <c r="AA10" i="6" s="1"/>
  <c r="D11" i="12" s="1"/>
  <c r="BG14" i="3"/>
  <c r="AA14" i="3"/>
  <c r="AF14" i="3" s="1"/>
  <c r="AG14" i="3" s="1"/>
  <c r="BB7" i="3"/>
  <c r="BF7" i="3" s="1"/>
  <c r="AS4" i="3"/>
  <c r="AR19" i="3"/>
  <c r="AE10" i="6"/>
  <c r="F9" i="16" s="1"/>
  <c r="G9" i="16" s="1"/>
  <c r="H9" i="16" s="1"/>
  <c r="BG13" i="3"/>
  <c r="AA13" i="3"/>
  <c r="AF13" i="3" s="1"/>
  <c r="AG13" i="3" s="1"/>
  <c r="D8" i="12"/>
  <c r="AG7" i="6"/>
  <c r="AI7" i="6" s="1"/>
  <c r="F24" i="8" s="1"/>
  <c r="F10" i="6"/>
  <c r="E27" i="8" s="1"/>
  <c r="AG9" i="6"/>
  <c r="T9" i="6"/>
  <c r="G4" i="16"/>
  <c r="C10" i="13"/>
  <c r="C26" i="8"/>
  <c r="C10" i="12"/>
  <c r="E8" i="16"/>
  <c r="BG12" i="3"/>
  <c r="AA12" i="3"/>
  <c r="AF12" i="3" s="1"/>
  <c r="AG12" i="3" s="1"/>
  <c r="A11" i="16"/>
  <c r="A10" i="3"/>
  <c r="D10" i="6"/>
  <c r="O10" i="6"/>
  <c r="R10" i="6"/>
  <c r="M10" i="6"/>
  <c r="Q10" i="6"/>
  <c r="E10" i="6"/>
  <c r="D27" i="8" s="1"/>
  <c r="G10" i="6"/>
  <c r="C9" i="16" s="1"/>
  <c r="N10" i="6"/>
  <c r="K10" i="6"/>
  <c r="Z10" i="6"/>
  <c r="I10" i="6"/>
  <c r="A13" i="12"/>
  <c r="B10" i="13"/>
  <c r="B8" i="16"/>
  <c r="B10" i="12"/>
  <c r="A16" i="13"/>
  <c r="J10" i="6"/>
  <c r="BA5" i="3"/>
  <c r="BB11" i="3"/>
  <c r="BF11" i="3" s="1"/>
  <c r="A13" i="6"/>
  <c r="F11" i="6"/>
  <c r="E28" i="8" s="1"/>
  <c r="R11" i="6"/>
  <c r="I11" i="6"/>
  <c r="B10" i="6"/>
  <c r="BG11" i="3" l="1"/>
  <c r="AA11" i="3"/>
  <c r="AF11" i="3" s="1"/>
  <c r="AG11" i="3" s="1"/>
  <c r="BG7" i="3"/>
  <c r="AA8" i="6" s="1"/>
  <c r="AA7" i="3"/>
  <c r="AF7" i="3" s="1"/>
  <c r="AG7" i="3" s="1"/>
  <c r="T11" i="6"/>
  <c r="A11" i="3"/>
  <c r="O11" i="6"/>
  <c r="P11" i="6"/>
  <c r="Z11" i="6"/>
  <c r="H11" i="6"/>
  <c r="D10" i="16" s="1"/>
  <c r="AE11" i="6"/>
  <c r="A12" i="16"/>
  <c r="E11" i="16"/>
  <c r="B11" i="16"/>
  <c r="K11" i="6"/>
  <c r="Y11" i="6"/>
  <c r="M11" i="6"/>
  <c r="C11" i="6"/>
  <c r="Q11" i="6"/>
  <c r="R12" i="6"/>
  <c r="Y12" i="6"/>
  <c r="N12" i="6"/>
  <c r="G12" i="6"/>
  <c r="C11" i="16" s="1"/>
  <c r="M12" i="6"/>
  <c r="T10" i="6"/>
  <c r="D11" i="6"/>
  <c r="E11" i="6"/>
  <c r="D28" i="8" s="1"/>
  <c r="H4" i="16"/>
  <c r="AI9" i="6"/>
  <c r="F26" i="8" s="1"/>
  <c r="D10" i="13"/>
  <c r="AA11" i="6"/>
  <c r="D12" i="12" s="1"/>
  <c r="J11" i="6"/>
  <c r="F12" i="6"/>
  <c r="E29" i="8" s="1"/>
  <c r="Z12" i="6"/>
  <c r="H12" i="6"/>
  <c r="D11" i="16" s="1"/>
  <c r="B12" i="6"/>
  <c r="D12" i="6"/>
  <c r="B13" i="13" s="1"/>
  <c r="K12" i="6"/>
  <c r="A14" i="12"/>
  <c r="C13" i="12"/>
  <c r="B13" i="12"/>
  <c r="L11" i="6"/>
  <c r="N11" i="6"/>
  <c r="C27" i="8"/>
  <c r="C11" i="13"/>
  <c r="E9" i="16"/>
  <c r="C11" i="12"/>
  <c r="A14" i="6"/>
  <c r="BB5" i="3"/>
  <c r="BF5" i="3" s="1"/>
  <c r="A17" i="13"/>
  <c r="B11" i="13"/>
  <c r="B9" i="16"/>
  <c r="B11" i="12"/>
  <c r="B11" i="6"/>
  <c r="G11" i="6"/>
  <c r="C10" i="16" s="1"/>
  <c r="AV4" i="3"/>
  <c r="AV19" i="3" s="1"/>
  <c r="AZ4" i="3"/>
  <c r="AZ19" i="3" s="1"/>
  <c r="AW4" i="3"/>
  <c r="AW19" i="3" s="1"/>
  <c r="AX4" i="3"/>
  <c r="AX19" i="3" s="1"/>
  <c r="AU4" i="3"/>
  <c r="AY4" i="3"/>
  <c r="AY19" i="3" s="1"/>
  <c r="AS19" i="3"/>
  <c r="BG5" i="3" l="1"/>
  <c r="AA6" i="6" s="1"/>
  <c r="AA5" i="3"/>
  <c r="AF5" i="3" s="1"/>
  <c r="AG5" i="3" s="1"/>
  <c r="AI10" i="6"/>
  <c r="F27" i="8" s="1"/>
  <c r="D11" i="13"/>
  <c r="E11" i="13" s="1"/>
  <c r="D12" i="13"/>
  <c r="E12" i="13" s="1"/>
  <c r="A15" i="6"/>
  <c r="A13" i="16"/>
  <c r="C28" i="8"/>
  <c r="C12" i="13"/>
  <c r="E10" i="16"/>
  <c r="C12" i="12"/>
  <c r="A15" i="12"/>
  <c r="E10" i="13"/>
  <c r="AG11" i="6"/>
  <c r="AI11" i="6" s="1"/>
  <c r="F28" i="8" s="1"/>
  <c r="F10" i="16"/>
  <c r="AG12" i="6"/>
  <c r="D9" i="12"/>
  <c r="AG8" i="6"/>
  <c r="AI8" i="6" s="1"/>
  <c r="F25" i="8" s="1"/>
  <c r="BA4" i="3"/>
  <c r="AU19" i="3"/>
  <c r="C29" i="8"/>
  <c r="C13" i="13"/>
  <c r="B12" i="13"/>
  <c r="B10" i="16"/>
  <c r="B12" i="12"/>
  <c r="A12" i="3"/>
  <c r="I12" i="6"/>
  <c r="Q12" i="6"/>
  <c r="L12" i="6"/>
  <c r="AA12" i="6"/>
  <c r="D13" i="12" s="1"/>
  <c r="C12" i="6"/>
  <c r="O12" i="6"/>
  <c r="AE12" i="6"/>
  <c r="F11" i="16" s="1"/>
  <c r="G11" i="16" s="1"/>
  <c r="H11" i="16" s="1"/>
  <c r="P12" i="6"/>
  <c r="J12" i="6"/>
  <c r="E12" i="6"/>
  <c r="D29" i="8" s="1"/>
  <c r="A16" i="6" l="1"/>
  <c r="T12" i="6"/>
  <c r="E10" i="12"/>
  <c r="BB4" i="3"/>
  <c r="BB19" i="3" s="1"/>
  <c r="BA19" i="3"/>
  <c r="D13" i="16"/>
  <c r="F13" i="16"/>
  <c r="G13" i="16" s="1"/>
  <c r="H13" i="16" s="1"/>
  <c r="A14" i="16"/>
  <c r="Y14" i="6"/>
  <c r="E14" i="6"/>
  <c r="AE14" i="6"/>
  <c r="E13" i="12"/>
  <c r="E12" i="12"/>
  <c r="A13" i="3"/>
  <c r="L13" i="6"/>
  <c r="B13" i="6"/>
  <c r="K13" i="6"/>
  <c r="D13" i="6"/>
  <c r="AE13" i="6"/>
  <c r="F12" i="16" s="1"/>
  <c r="G12" i="16" s="1"/>
  <c r="H12" i="16" s="1"/>
  <c r="Y13" i="6"/>
  <c r="P13" i="6"/>
  <c r="O13" i="6"/>
  <c r="C13" i="6"/>
  <c r="J13" i="6"/>
  <c r="I13" i="6"/>
  <c r="Z13" i="6"/>
  <c r="N13" i="6"/>
  <c r="AA13" i="6"/>
  <c r="D14" i="12" s="1"/>
  <c r="M13" i="6"/>
  <c r="G13" i="6"/>
  <c r="C12" i="16" s="1"/>
  <c r="E13" i="6"/>
  <c r="D30" i="8" s="1"/>
  <c r="H13" i="6"/>
  <c r="D12" i="16" s="1"/>
  <c r="R13" i="6"/>
  <c r="Q13" i="6"/>
  <c r="F13" i="6"/>
  <c r="E30" i="8" s="1"/>
  <c r="E8" i="12"/>
  <c r="E9" i="12"/>
  <c r="F14" i="6"/>
  <c r="E31" i="8" s="1"/>
  <c r="I14" i="6"/>
  <c r="H14" i="6"/>
  <c r="G14" i="6"/>
  <c r="C13" i="16" s="1"/>
  <c r="N14" i="6"/>
  <c r="G10" i="16"/>
  <c r="D15" i="12"/>
  <c r="C15" i="12"/>
  <c r="A16" i="12"/>
  <c r="C14" i="6"/>
  <c r="Q14" i="6"/>
  <c r="D14" i="6"/>
  <c r="B15" i="13" s="1"/>
  <c r="AA14" i="6"/>
  <c r="B14" i="6"/>
  <c r="L14" i="6"/>
  <c r="B35" i="5"/>
  <c r="B41" i="5" s="1"/>
  <c r="B43" i="5" s="1"/>
  <c r="D7" i="12"/>
  <c r="AG6" i="6"/>
  <c r="AI6" i="6" s="1"/>
  <c r="F23" i="8" s="1"/>
  <c r="T13" i="6" l="1"/>
  <c r="E7" i="12"/>
  <c r="C15" i="13"/>
  <c r="C31" i="8"/>
  <c r="H10" i="16"/>
  <c r="A15" i="16"/>
  <c r="A17" i="12"/>
  <c r="AG13" i="6"/>
  <c r="C30" i="8"/>
  <c r="C14" i="13"/>
  <c r="E12" i="16"/>
  <c r="C14" i="12"/>
  <c r="B15" i="12"/>
  <c r="E15" i="12" s="1"/>
  <c r="E11" i="12"/>
  <c r="B14" i="13"/>
  <c r="B14" i="12"/>
  <c r="E14" i="12" s="1"/>
  <c r="B12" i="16"/>
  <c r="A14" i="3"/>
  <c r="J14" i="6"/>
  <c r="T14" i="6" s="1"/>
  <c r="K14" i="6"/>
  <c r="Z14" i="6"/>
  <c r="AG14" i="6" s="1"/>
  <c r="R14" i="6"/>
  <c r="O14" i="6"/>
  <c r="M14" i="6"/>
  <c r="B13" i="16"/>
  <c r="E13" i="16"/>
  <c r="BF4" i="3"/>
  <c r="AI12" i="6"/>
  <c r="F29" i="8" s="1"/>
  <c r="D13" i="13"/>
  <c r="Z15" i="6"/>
  <c r="P15" i="6"/>
  <c r="H15" i="6"/>
  <c r="D14" i="16" s="1"/>
  <c r="O15" i="6"/>
  <c r="P14" i="6"/>
  <c r="AI14" i="6" l="1"/>
  <c r="F31" i="8" s="1"/>
  <c r="D15" i="13"/>
  <c r="E15" i="13" s="1"/>
  <c r="AE15" i="6"/>
  <c r="BG4" i="3"/>
  <c r="AA4" i="3"/>
  <c r="BF19" i="3"/>
  <c r="R15" i="6"/>
  <c r="Q16" i="6"/>
  <c r="A15" i="3"/>
  <c r="J16" i="6" s="1"/>
  <c r="J26" i="6" s="1"/>
  <c r="M15" i="6"/>
  <c r="AA15" i="6"/>
  <c r="D16" i="12" s="1"/>
  <c r="G15" i="6"/>
  <c r="C14" i="16" s="1"/>
  <c r="K15" i="6"/>
  <c r="D15" i="6"/>
  <c r="L15" i="6"/>
  <c r="B15" i="6"/>
  <c r="Y15" i="6"/>
  <c r="AG15" i="6" s="1"/>
  <c r="N15" i="6"/>
  <c r="C15" i="6"/>
  <c r="F15" i="6"/>
  <c r="F16" i="6"/>
  <c r="E33" i="8" s="1"/>
  <c r="C16" i="6"/>
  <c r="P16" i="6"/>
  <c r="P26" i="6" s="1"/>
  <c r="AE16" i="6"/>
  <c r="F15" i="16" s="1"/>
  <c r="G15" i="16" s="1"/>
  <c r="H15" i="16" s="1"/>
  <c r="O16" i="6"/>
  <c r="O26" i="6" s="1"/>
  <c r="AI13" i="6"/>
  <c r="F30" i="8" s="1"/>
  <c r="D14" i="13"/>
  <c r="E14" i="13" s="1"/>
  <c r="E13" i="13"/>
  <c r="Q15" i="6"/>
  <c r="E15" i="6"/>
  <c r="L16" i="6"/>
  <c r="L26" i="6" s="1"/>
  <c r="H16" i="6"/>
  <c r="D15" i="16" s="1"/>
  <c r="AA16" i="6"/>
  <c r="G16" i="6"/>
  <c r="C15" i="16" s="1"/>
  <c r="M16" i="6"/>
  <c r="M26" i="6" s="1"/>
  <c r="D17" i="12"/>
  <c r="J15" i="6"/>
  <c r="E16" i="6"/>
  <c r="N16" i="6"/>
  <c r="N26" i="6" s="1"/>
  <c r="R16" i="6"/>
  <c r="R26" i="6" s="1"/>
  <c r="D16" i="6"/>
  <c r="B17" i="13" s="1"/>
  <c r="K16" i="6"/>
  <c r="K26" i="6" s="1"/>
  <c r="I15" i="6"/>
  <c r="T15" i="6" s="1"/>
  <c r="AI15" i="6" l="1"/>
  <c r="D16" i="13"/>
  <c r="B16" i="13"/>
  <c r="B14" i="16"/>
  <c r="B16" i="12"/>
  <c r="E16" i="12" s="1"/>
  <c r="B16" i="6"/>
  <c r="B15" i="16"/>
  <c r="AE26" i="6"/>
  <c r="F14" i="16"/>
  <c r="B17" i="12"/>
  <c r="E17" i="12" s="1"/>
  <c r="Z16" i="6"/>
  <c r="Z26" i="6" s="1"/>
  <c r="I16" i="6"/>
  <c r="C16" i="13"/>
  <c r="E14" i="16"/>
  <c r="C16" i="12"/>
  <c r="Q26" i="6"/>
  <c r="Y16" i="6"/>
  <c r="AF4" i="3"/>
  <c r="AA19" i="3"/>
  <c r="AA5" i="6"/>
  <c r="BG19" i="3"/>
  <c r="D6" i="12" l="1"/>
  <c r="D31" i="12" s="1"/>
  <c r="C13" i="26" s="1"/>
  <c r="AA26" i="6"/>
  <c r="AG5" i="6"/>
  <c r="T16" i="6"/>
  <c r="I26" i="6"/>
  <c r="AG4" i="3"/>
  <c r="AG19" i="3" s="1"/>
  <c r="AF19" i="3"/>
  <c r="C17" i="13"/>
  <c r="E15" i="16"/>
  <c r="C17" i="12"/>
  <c r="E16" i="13"/>
  <c r="AG16" i="6"/>
  <c r="Y26" i="6"/>
  <c r="G14" i="16"/>
  <c r="F29" i="16"/>
  <c r="C14" i="26" s="1"/>
  <c r="AI16" i="6" l="1"/>
  <c r="T26" i="6"/>
  <c r="C4" i="26" s="1"/>
  <c r="D17" i="13"/>
  <c r="H14" i="16"/>
  <c r="G29" i="16"/>
  <c r="AG26" i="6"/>
  <c r="AI5" i="6"/>
  <c r="E17" i="13" l="1"/>
  <c r="E31" i="13" s="1"/>
  <c r="D31" i="13"/>
  <c r="AI26" i="6"/>
  <c r="C12" i="26" s="1"/>
  <c r="F22" i="8"/>
  <c r="C5" i="26"/>
  <c r="C15" i="26"/>
  <c r="H29" i="16"/>
  <c r="E32" i="8"/>
  <c r="D31" i="8"/>
  <c r="E6" i="12"/>
  <c r="C32" i="8"/>
  <c r="F32" i="8"/>
  <c r="F33" i="8"/>
  <c r="D33" i="8"/>
  <c r="D32" i="8"/>
  <c r="C33" i="8"/>
  <c r="C8" i="26" l="1"/>
  <c r="C18" i="26"/>
  <c r="F47" i="8"/>
  <c r="C6" i="26"/>
  <c r="C16" i="26"/>
  <c r="C20" i="26" l="1"/>
</calcChain>
</file>

<file path=xl/sharedStrings.xml><?xml version="1.0" encoding="utf-8"?>
<sst xmlns="http://schemas.openxmlformats.org/spreadsheetml/2006/main" count="340" uniqueCount="211">
  <si>
    <t>NET-PAY</t>
  </si>
  <si>
    <t>Total</t>
  </si>
  <si>
    <t xml:space="preserve">1st </t>
  </si>
  <si>
    <t>Consolidated Allowance</t>
  </si>
  <si>
    <t>Pension</t>
  </si>
  <si>
    <t>NHIS</t>
  </si>
  <si>
    <t>NHF</t>
  </si>
  <si>
    <t>Gratuity</t>
  </si>
  <si>
    <t>Life Insurance</t>
  </si>
  <si>
    <t>Taxable Income</t>
  </si>
  <si>
    <t>Monthly Tax</t>
  </si>
  <si>
    <t>Min Tax</t>
  </si>
  <si>
    <t>Monthly Min Tx</t>
  </si>
  <si>
    <t>Number of Months worked</t>
  </si>
  <si>
    <t xml:space="preserve"> BASIC</t>
  </si>
  <si>
    <t xml:space="preserve"> HOUSING</t>
  </si>
  <si>
    <t xml:space="preserve"> TRANSPORT</t>
  </si>
  <si>
    <t xml:space="preserve"> MEDICAL</t>
  </si>
  <si>
    <t xml:space="preserve"> MEAL</t>
  </si>
  <si>
    <t xml:space="preserve"> CLOTHING</t>
  </si>
  <si>
    <t xml:space="preserve"> EDUCATN</t>
  </si>
  <si>
    <t xml:space="preserve"> FURNITURE</t>
  </si>
  <si>
    <t xml:space="preserve"> ENTERTAIN</t>
  </si>
  <si>
    <t xml:space="preserve"> UTILITY</t>
  </si>
  <si>
    <t xml:space="preserve"> GROSS PAY</t>
  </si>
  <si>
    <t xml:space="preserve"> LOAN REPMT</t>
  </si>
  <si>
    <t xml:space="preserve"> WELFARE/</t>
  </si>
  <si>
    <t xml:space="preserve"> UNIFORM</t>
  </si>
  <si>
    <t xml:space="preserve"> LATE/ABSENT</t>
  </si>
  <si>
    <t xml:space="preserve"> ADDITIONS</t>
  </si>
  <si>
    <t xml:space="preserve"> PENSION</t>
  </si>
  <si>
    <t xml:space="preserve"> Count</t>
  </si>
  <si>
    <t>N200,000 or 1% of gross</t>
  </si>
  <si>
    <t>20% of Gross</t>
  </si>
  <si>
    <t>Annual Tax Payable</t>
  </si>
  <si>
    <t>Monthly Tax Payable</t>
  </si>
  <si>
    <t xml:space="preserve"> NET-PAY ANNUAL</t>
  </si>
  <si>
    <t xml:space="preserve"> NET-PAY MONTHLY</t>
  </si>
  <si>
    <t>Monthly</t>
  </si>
  <si>
    <t>TOTAL DEDUCTION</t>
  </si>
  <si>
    <t>N</t>
  </si>
  <si>
    <t>NAMES</t>
  </si>
  <si>
    <t>FIRST NAME</t>
  </si>
  <si>
    <t>OTHER NAME</t>
  </si>
  <si>
    <t>GRADE</t>
  </si>
  <si>
    <t>DEPARTMENT</t>
  </si>
  <si>
    <t>BANKERS</t>
  </si>
  <si>
    <t>ACCOUNT NUMBER</t>
  </si>
  <si>
    <t>PFA</t>
  </si>
  <si>
    <t>PENSION PIN</t>
  </si>
  <si>
    <t>TITLE</t>
  </si>
  <si>
    <t>FULL NAME</t>
  </si>
  <si>
    <t>MR</t>
  </si>
  <si>
    <t>MASTER PAYROLL TEMPLATE</t>
  </si>
  <si>
    <t>GRATUATITY SAVINGS</t>
  </si>
  <si>
    <t>ANNUAL PAYE</t>
  </si>
  <si>
    <t>SN</t>
  </si>
  <si>
    <t>SAL ADJ- ADD</t>
  </si>
  <si>
    <t>SAL ADJ- DED</t>
  </si>
  <si>
    <t xml:space="preserve"> WELFARE</t>
  </si>
  <si>
    <t>OTHERS1</t>
  </si>
  <si>
    <t>OTHERS2</t>
  </si>
  <si>
    <t>OTHERS3</t>
  </si>
  <si>
    <t>PAYSLIP</t>
  </si>
  <si>
    <t>EMPLOYEEE NAME</t>
  </si>
  <si>
    <t>BANK ACCOUNT NUMBER</t>
  </si>
  <si>
    <t>PENSION PFA</t>
  </si>
  <si>
    <t>OTHERS:</t>
  </si>
  <si>
    <t>PAYROLL DATE</t>
  </si>
  <si>
    <t>CATEGORY</t>
  </si>
  <si>
    <t>RULE</t>
  </si>
  <si>
    <t xml:space="preserve">1) </t>
  </si>
  <si>
    <t>UPDATE THE MASTER PAYROLL SHEET WITH EACH STAFF PRIMARY DATA</t>
  </si>
  <si>
    <t xml:space="preserve">2) </t>
  </si>
  <si>
    <t>WHEN ADDING NEW STAFF INSERT A NEW ROW BETWEEN TWO EXISTING PRENUMBERED ROLLS SAY BETWEEN ROW NUMBER 1 AND ROW NUMBER 2</t>
  </si>
  <si>
    <t>3)</t>
  </si>
  <si>
    <t>COPY AN EXISTING ROW AND PASTE ON THE NEW ROW. THEN EDIT THE STAFF PRIMARY DATA WITH THE ONES OF THE NEW STAFF</t>
  </si>
  <si>
    <t>4)</t>
  </si>
  <si>
    <t>PRIMARY DATA INCLUDE, THE NAME, BANK ACCOUNT DETAILS, PFA DETAILS, SALARY, ETC</t>
  </si>
  <si>
    <t>ROUTING</t>
  </si>
  <si>
    <t>UPDATE EACH  MONTHLY PAYROLL SHEET AFTER UPDATING THE ANNUAL MASTER SHEET</t>
  </si>
  <si>
    <t>2)</t>
  </si>
  <si>
    <t>THE PAYSLIP WILL FLOW WITH THE MONTHLY SHEET . ALL YOU NEED TO DO TO SEE THE NEXTSTAFF IF TO CHANGE THE NUMBER ON CELL B1 TO THE NUMBER THE STAFF HAS ON MONTHLY PAYROLL SHEET</t>
  </si>
  <si>
    <t>TOTALS</t>
  </si>
  <si>
    <t>TOTAL</t>
  </si>
  <si>
    <t>.</t>
  </si>
  <si>
    <t>The Branch Manager</t>
  </si>
  <si>
    <t>Dear Sir,</t>
  </si>
  <si>
    <t>with the amount stated against each of them.</t>
  </si>
  <si>
    <t>S/N</t>
  </si>
  <si>
    <t>AMOUNT(N)</t>
  </si>
  <si>
    <t>AUTHORIZED SIGNATORY</t>
  </si>
  <si>
    <t>SURNAME</t>
  </si>
  <si>
    <t>CODES</t>
  </si>
  <si>
    <t>HO</t>
  </si>
  <si>
    <t>Head Office</t>
  </si>
  <si>
    <t>SEC</t>
  </si>
  <si>
    <t>Security</t>
  </si>
  <si>
    <t>DEP</t>
  </si>
  <si>
    <t>Depot</t>
  </si>
  <si>
    <t>S/NO</t>
  </si>
  <si>
    <t>RSA PIN</t>
  </si>
  <si>
    <t>NAME</t>
  </si>
  <si>
    <t>EMPLOYER</t>
  </si>
  <si>
    <t>EMPLOYEE</t>
  </si>
  <si>
    <t>PAYE REMITTANCE SCHEDULE</t>
  </si>
  <si>
    <t>AMOUNT</t>
  </si>
  <si>
    <t>TIN</t>
  </si>
  <si>
    <t>SUB TOTAL-1</t>
  </si>
  <si>
    <t xml:space="preserve">GROSS </t>
  </si>
  <si>
    <t>NSITF PREMIUM</t>
  </si>
  <si>
    <t>PREMIUM</t>
  </si>
  <si>
    <t>PREPARED BY:............................................................</t>
  </si>
  <si>
    <t>CHECKED BY:...................................................</t>
  </si>
  <si>
    <t>AUTHOURISED BY:............................................................</t>
  </si>
  <si>
    <t>APPROVED BY:............................................................</t>
  </si>
  <si>
    <t xml:space="preserve"> (BANK SUMMARY)</t>
  </si>
  <si>
    <t>STAFF SALARIES FOR MONTH ENDED</t>
  </si>
  <si>
    <t>ACCOUNT NO.</t>
  </si>
  <si>
    <t>PAYE</t>
  </si>
  <si>
    <t>UNIFORM</t>
  </si>
  <si>
    <t>ENDOWMENT</t>
  </si>
  <si>
    <t xml:space="preserve"> NET-PAY</t>
  </si>
  <si>
    <t>Difference</t>
  </si>
  <si>
    <t>PENSION</t>
  </si>
  <si>
    <t>Payroll for the Month ended</t>
  </si>
  <si>
    <t>Computatio of Staff Cost for the month of August 2017</t>
  </si>
  <si>
    <t>Gross Salary</t>
  </si>
  <si>
    <t>Employer Pension</t>
  </si>
  <si>
    <t>NSITF</t>
  </si>
  <si>
    <t>Check</t>
  </si>
  <si>
    <t>Net Salary</t>
  </si>
  <si>
    <t>PAYE tax</t>
  </si>
  <si>
    <t>Pension- Employee</t>
  </si>
  <si>
    <t>Pension- Employer</t>
  </si>
  <si>
    <t>MRS</t>
  </si>
  <si>
    <t>25th November 2020</t>
  </si>
  <si>
    <t>Thelma Nojeem</t>
  </si>
  <si>
    <t>Kafaya Aniefiok</t>
  </si>
  <si>
    <t>Akpan Salawu</t>
  </si>
  <si>
    <t>Queen Amachree</t>
  </si>
  <si>
    <t>Chukwuemema Buhari</t>
  </si>
  <si>
    <t>Prisca John</t>
  </si>
  <si>
    <t>Bobo Samba</t>
  </si>
  <si>
    <t>Jimoh Chinedu</t>
  </si>
  <si>
    <t>Amaka Raji</t>
  </si>
  <si>
    <t>Charles Abubakar</t>
  </si>
  <si>
    <t>Boma Daudu</t>
  </si>
  <si>
    <t>Sample Bank Plc</t>
  </si>
  <si>
    <t>00045879088</t>
  </si>
  <si>
    <t>00045879089</t>
  </si>
  <si>
    <t>00045879090</t>
  </si>
  <si>
    <t>00045879091</t>
  </si>
  <si>
    <t>00045879092</t>
  </si>
  <si>
    <t>00045879093</t>
  </si>
  <si>
    <t>00045879094</t>
  </si>
  <si>
    <t>00045879095</t>
  </si>
  <si>
    <t>00045879096</t>
  </si>
  <si>
    <t>00045879097</t>
  </si>
  <si>
    <t>00045879098</t>
  </si>
  <si>
    <t>00045879099</t>
  </si>
  <si>
    <t>SAMPLE PFA</t>
  </si>
  <si>
    <t>PINSAMPLE001</t>
  </si>
  <si>
    <t>PINSAMPLE002</t>
  </si>
  <si>
    <t>PINSAMPLE003</t>
  </si>
  <si>
    <t>PINSAMPLE004</t>
  </si>
  <si>
    <t>PINSAMPLE005</t>
  </si>
  <si>
    <t>PINSAMPLE006</t>
  </si>
  <si>
    <t>PINSAMPLE007</t>
  </si>
  <si>
    <t>PINSAMPLE008</t>
  </si>
  <si>
    <t>PINSAMPLE009</t>
  </si>
  <si>
    <t>PINSAMPLE010</t>
  </si>
  <si>
    <t>PINSAMPLE011</t>
  </si>
  <si>
    <t>PINSAMPLE012</t>
  </si>
  <si>
    <t>MARKETING</t>
  </si>
  <si>
    <t>ENGINEERING</t>
  </si>
  <si>
    <t>FINANCE</t>
  </si>
  <si>
    <t>OPERATIONS</t>
  </si>
  <si>
    <t>Simon Ibrahim</t>
  </si>
  <si>
    <t>Up and Down Street Branch</t>
  </si>
  <si>
    <t>28 Up and Down Stret</t>
  </si>
  <si>
    <t>Everywhere State</t>
  </si>
  <si>
    <t>as summed up below and then, credit the underlisted staff of Queen and Queen Ltd</t>
  </si>
  <si>
    <t>Kindly take this as our official request for you to debit our Account No. 88822244455 with the total amount</t>
  </si>
  <si>
    <t>Queen and Queen Ltd</t>
  </si>
  <si>
    <t>PAYROLL SCHEDULE TO BANKS</t>
  </si>
  <si>
    <t>SB1</t>
  </si>
  <si>
    <t>Mr</t>
  </si>
  <si>
    <t>Mrs</t>
  </si>
  <si>
    <t>General Manager</t>
  </si>
  <si>
    <t>Officer</t>
  </si>
  <si>
    <t>SBI2</t>
  </si>
  <si>
    <t>Deputy Manager</t>
  </si>
  <si>
    <t>Gross Pay</t>
  </si>
  <si>
    <t>The Higher of N200,000 or 1% of Gross</t>
  </si>
  <si>
    <t>Add 20% of gross</t>
  </si>
  <si>
    <t>Employee Pension Contribution ( 8% of BHT)</t>
  </si>
  <si>
    <t>Less:</t>
  </si>
  <si>
    <t>NHF if any</t>
  </si>
  <si>
    <t>Taxed at</t>
  </si>
  <si>
    <t>Next 300,000</t>
  </si>
  <si>
    <t>1st 300,000</t>
  </si>
  <si>
    <t>Next 500,000</t>
  </si>
  <si>
    <t>Next 1,600,000</t>
  </si>
  <si>
    <t>Next 3,200,000 and above</t>
  </si>
  <si>
    <t>Tax Table</t>
  </si>
  <si>
    <t>Annual Tax</t>
  </si>
  <si>
    <t>Minimum Tax</t>
  </si>
  <si>
    <t>Compuation of Individual Tax</t>
  </si>
  <si>
    <t>SAMPLE</t>
  </si>
  <si>
    <t>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</si>
</sst>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-&quot;£&quot;* #,##0.00_-;\-&quot;£&quot;* #,##0.00_-;_-&quot;£&quot;* &quot;-&quot;??_-;_-@_-"/>
    <numFmt numFmtId="167" formatCode="[$-409]mmmm\ d\,\ yyyy;@"/>
    <numFmt numFmtId="168" formatCode="#,##0;[Red]#,##0"/>
    <numFmt numFmtId="169" formatCode="#,##0.00;[Red]#,##0.00"/>
    <numFmt numFmtId="170" formatCode="[$-409]mmmm\-yy;@"/>
    <numFmt numFmtId="171" formatCode="[$-409]General"/>
    <numFmt numFmtId="172" formatCode="&quot; &quot;#,##0.00&quot; &quot;;&quot; (&quot;#,##0.00&quot;)&quot;;&quot; -&quot;#&quot; &quot;;&quot; &quot;@&quot; &quot;"/>
  </numFmts>
  <fonts count="34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b/>
      <u/>
      <sz val="11"/>
      <name val="Times New Roman"/>
      <family val="1"/>
    </font>
    <font>
      <sz val="14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Times New Roman"/>
      <family val="1"/>
    </font>
    <font>
      <b/>
      <sz val="18"/>
      <name val="Times New Roman"/>
      <family val="1"/>
    </font>
    <font>
      <b/>
      <sz val="18"/>
      <color theme="3" tint="-0.249977111117893"/>
      <name val="Times New Roman"/>
      <family val="1"/>
    </font>
    <font>
      <sz val="1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b/>
      <u/>
      <sz val="16"/>
      <name val="Times New Roman"/>
      <family val="1"/>
    </font>
    <font>
      <sz val="11"/>
      <color rgb="FF000000"/>
      <name val="Calibri"/>
      <family val="2"/>
    </font>
    <font>
      <sz val="10"/>
      <color rgb="FF222222"/>
      <name val="Arial"/>
      <family val="2"/>
    </font>
    <font>
      <sz val="14"/>
      <color rgb="FF000000"/>
      <name val="Bell MT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211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171" fontId="29" fillId="0" borderId="0"/>
    <xf numFmtId="172" fontId="29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88">
    <xf numFmtId="0" fontId="0" fillId="0" borderId="0" xfId="0"/>
    <xf numFmtId="0" fontId="3" fillId="0" borderId="0" xfId="0" applyFont="1"/>
    <xf numFmtId="0" fontId="0" fillId="0" borderId="3" xfId="0" applyBorder="1"/>
    <xf numFmtId="0" fontId="0" fillId="0" borderId="1" xfId="0" applyBorder="1"/>
    <xf numFmtId="43" fontId="0" fillId="0" borderId="0" xfId="1" applyFont="1" applyFill="1"/>
    <xf numFmtId="43" fontId="0" fillId="0" borderId="1" xfId="1" applyFont="1" applyFill="1" applyBorder="1"/>
    <xf numFmtId="43" fontId="5" fillId="0" borderId="0" xfId="1" applyFont="1" applyFill="1" applyBorder="1" applyAlignment="1"/>
    <xf numFmtId="43" fontId="3" fillId="0" borderId="0" xfId="1" applyFont="1" applyFill="1" applyBorder="1" applyAlignment="1"/>
    <xf numFmtId="0" fontId="0" fillId="0" borderId="6" xfId="0" applyBorder="1"/>
    <xf numFmtId="0" fontId="0" fillId="0" borderId="0" xfId="0" applyAlignment="1">
      <alignment horizontal="center"/>
    </xf>
    <xf numFmtId="0" fontId="0" fillId="0" borderId="0" xfId="0" applyFill="1"/>
    <xf numFmtId="0" fontId="0" fillId="0" borderId="3" xfId="0" applyFill="1" applyBorder="1"/>
    <xf numFmtId="0" fontId="0" fillId="0" borderId="2" xfId="0" applyFill="1" applyBorder="1"/>
    <xf numFmtId="43" fontId="0" fillId="0" borderId="3" xfId="1" applyFont="1" applyFill="1" applyBorder="1"/>
    <xf numFmtId="43" fontId="3" fillId="0" borderId="2" xfId="1" applyFont="1" applyFill="1" applyBorder="1"/>
    <xf numFmtId="43" fontId="3" fillId="0" borderId="4" xfId="0" applyNumberFormat="1" applyFont="1" applyFill="1" applyBorder="1"/>
    <xf numFmtId="165" fontId="3" fillId="0" borderId="2" xfId="0" applyNumberFormat="1" applyFont="1" applyFill="1" applyBorder="1"/>
    <xf numFmtId="0" fontId="0" fillId="0" borderId="0" xfId="0" applyFill="1" applyBorder="1"/>
    <xf numFmtId="0" fontId="0" fillId="0" borderId="6" xfId="0" applyFill="1" applyBorder="1"/>
    <xf numFmtId="0" fontId="3" fillId="0" borderId="0" xfId="0" applyFont="1" applyBorder="1"/>
    <xf numFmtId="0" fontId="6" fillId="0" borderId="0" xfId="0" applyFo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2" applyFill="1"/>
    <xf numFmtId="43" fontId="2" fillId="0" borderId="0" xfId="5" applyNumberFormat="1" applyFont="1" applyFill="1" applyAlignment="1">
      <alignment horizontal="center"/>
    </xf>
    <xf numFmtId="167" fontId="9" fillId="0" borderId="0" xfId="2" applyNumberFormat="1" applyFont="1" applyFill="1"/>
    <xf numFmtId="167" fontId="10" fillId="0" borderId="0" xfId="2" applyNumberFormat="1" applyFont="1" applyFill="1" applyAlignment="1">
      <alignment horizontal="left"/>
    </xf>
    <xf numFmtId="0" fontId="11" fillId="0" borderId="0" xfId="2" applyFont="1" applyFill="1"/>
    <xf numFmtId="43" fontId="11" fillId="0" borderId="0" xfId="5" applyNumberFormat="1" applyFont="1" applyFill="1" applyAlignment="1">
      <alignment horizontal="center"/>
    </xf>
    <xf numFmtId="0" fontId="9" fillId="0" borderId="0" xfId="2" applyFont="1" applyFill="1"/>
    <xf numFmtId="43" fontId="9" fillId="0" borderId="0" xfId="5" applyNumberFormat="1" applyFont="1" applyFill="1" applyAlignment="1">
      <alignment horizontal="center"/>
    </xf>
    <xf numFmtId="0" fontId="12" fillId="0" borderId="0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0" borderId="11" xfId="2" applyFont="1" applyFill="1" applyBorder="1" applyAlignment="1">
      <alignment horizontal="center"/>
    </xf>
    <xf numFmtId="43" fontId="7" fillId="0" borderId="12" xfId="5" applyNumberFormat="1" applyFont="1" applyFill="1" applyBorder="1" applyAlignment="1">
      <alignment horizontal="center"/>
    </xf>
    <xf numFmtId="43" fontId="7" fillId="0" borderId="0" xfId="5" applyNumberFormat="1" applyFont="1" applyFill="1" applyBorder="1" applyAlignment="1">
      <alignment horizontal="center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/>
    <xf numFmtId="1" fontId="8" fillId="0" borderId="0" xfId="2" applyNumberFormat="1" applyFont="1" applyFill="1" applyBorder="1" applyAlignment="1">
      <alignment horizontal="center"/>
    </xf>
    <xf numFmtId="0" fontId="9" fillId="0" borderId="0" xfId="2" applyFont="1" applyFill="1" applyBorder="1"/>
    <xf numFmtId="43" fontId="8" fillId="0" borderId="0" xfId="5" applyNumberFormat="1" applyFont="1" applyFill="1" applyBorder="1" applyAlignment="1">
      <alignment horizontal="center"/>
    </xf>
    <xf numFmtId="0" fontId="14" fillId="0" borderId="0" xfId="2" applyFont="1" applyFill="1"/>
    <xf numFmtId="1" fontId="0" fillId="0" borderId="1" xfId="1" applyNumberFormat="1" applyFont="1" applyFill="1" applyBorder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70" fontId="12" fillId="0" borderId="0" xfId="2" applyNumberFormat="1" applyFont="1" applyFill="1" applyBorder="1" applyAlignment="1">
      <alignment horizontal="center"/>
    </xf>
    <xf numFmtId="0" fontId="7" fillId="0" borderId="0" xfId="2" applyFont="1" applyFill="1" applyBorder="1" applyAlignment="1">
      <alignment horizontal="right"/>
    </xf>
    <xf numFmtId="0" fontId="17" fillId="0" borderId="0" xfId="0" applyFont="1"/>
    <xf numFmtId="43" fontId="17" fillId="0" borderId="0" xfId="1" applyFont="1"/>
    <xf numFmtId="0" fontId="17" fillId="0" borderId="0" xfId="0" applyFont="1" applyAlignment="1">
      <alignment wrapText="1"/>
    </xf>
    <xf numFmtId="0" fontId="17" fillId="0" borderId="1" xfId="0" applyFont="1" applyBorder="1" applyAlignment="1">
      <alignment horizontal="center" wrapText="1"/>
    </xf>
    <xf numFmtId="43" fontId="17" fillId="3" borderId="1" xfId="1" applyFont="1" applyFill="1" applyBorder="1" applyAlignment="1">
      <alignment horizontal="center" wrapText="1"/>
    </xf>
    <xf numFmtId="43" fontId="17" fillId="0" borderId="1" xfId="1" applyFont="1" applyBorder="1" applyAlignment="1">
      <alignment horizontal="center" wrapText="1"/>
    </xf>
    <xf numFmtId="165" fontId="17" fillId="0" borderId="1" xfId="0" applyNumberFormat="1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6" fillId="0" borderId="1" xfId="0" applyFont="1" applyBorder="1" applyAlignment="1"/>
    <xf numFmtId="0" fontId="16" fillId="0" borderId="1" xfId="0" applyFont="1" applyBorder="1" applyAlignment="1">
      <alignment horizontal="center" wrapText="1"/>
    </xf>
    <xf numFmtId="43" fontId="16" fillId="3" borderId="1" xfId="1" applyFont="1" applyFill="1" applyBorder="1" applyAlignment="1"/>
    <xf numFmtId="43" fontId="16" fillId="0" borderId="1" xfId="1" applyFont="1" applyBorder="1" applyAlignment="1"/>
    <xf numFmtId="0" fontId="16" fillId="0" borderId="1" xfId="0" applyFont="1" applyBorder="1" applyAlignment="1">
      <alignment wrapText="1"/>
    </xf>
    <xf numFmtId="9" fontId="16" fillId="0" borderId="1" xfId="0" applyNumberFormat="1" applyFont="1" applyBorder="1" applyAlignment="1"/>
    <xf numFmtId="9" fontId="16" fillId="0" borderId="1" xfId="1" applyNumberFormat="1" applyFont="1" applyBorder="1" applyAlignment="1"/>
    <xf numFmtId="165" fontId="16" fillId="0" borderId="1" xfId="0" applyNumberFormat="1" applyFont="1" applyBorder="1" applyAlignment="1"/>
    <xf numFmtId="0" fontId="16" fillId="0" borderId="0" xfId="0" applyFont="1" applyAlignment="1"/>
    <xf numFmtId="0" fontId="17" fillId="0" borderId="4" xfId="0" applyFont="1" applyBorder="1"/>
    <xf numFmtId="43" fontId="17" fillId="0" borderId="4" xfId="1" applyFont="1" applyBorder="1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43" fontId="19" fillId="0" borderId="0" xfId="1" applyFont="1"/>
    <xf numFmtId="43" fontId="19" fillId="0" borderId="0" xfId="1" applyFont="1" applyFill="1"/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 wrapText="1"/>
    </xf>
    <xf numFmtId="43" fontId="18" fillId="0" borderId="0" xfId="1" applyFont="1" applyAlignment="1">
      <alignment horizontal="center" wrapText="1"/>
    </xf>
    <xf numFmtId="43" fontId="18" fillId="0" borderId="0" xfId="1" applyFont="1" applyFill="1" applyAlignment="1">
      <alignment horizontal="center" wrapText="1"/>
    </xf>
    <xf numFmtId="165" fontId="18" fillId="0" borderId="0" xfId="0" applyNumberFormat="1" applyFont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43" fontId="18" fillId="2" borderId="1" xfId="1" applyFont="1" applyFill="1" applyBorder="1" applyAlignment="1">
      <alignment horizontal="center" wrapText="1"/>
    </xf>
    <xf numFmtId="43" fontId="19" fillId="0" borderId="1" xfId="1" applyFont="1" applyFill="1" applyBorder="1"/>
    <xf numFmtId="0" fontId="19" fillId="0" borderId="8" xfId="0" applyFont="1" applyBorder="1"/>
    <xf numFmtId="0" fontId="19" fillId="0" borderId="8" xfId="0" applyFont="1" applyBorder="1" applyAlignment="1"/>
    <xf numFmtId="0" fontId="19" fillId="0" borderId="8" xfId="0" quotePrefix="1" applyFont="1" applyBorder="1" applyAlignment="1">
      <alignment horizontal="left"/>
    </xf>
    <xf numFmtId="43" fontId="18" fillId="0" borderId="8" xfId="1" applyFont="1" applyBorder="1"/>
    <xf numFmtId="0" fontId="20" fillId="0" borderId="0" xfId="2" applyFont="1" applyFill="1"/>
    <xf numFmtId="0" fontId="21" fillId="0" borderId="0" xfId="2" applyFont="1" applyFill="1" applyBorder="1"/>
    <xf numFmtId="0" fontId="21" fillId="0" borderId="0" xfId="2" applyFont="1" applyFill="1" applyBorder="1" applyAlignment="1">
      <alignment horizontal="left"/>
    </xf>
    <xf numFmtId="43" fontId="21" fillId="0" borderId="0" xfId="4" applyNumberFormat="1" applyFont="1" applyFill="1" applyBorder="1"/>
    <xf numFmtId="39" fontId="21" fillId="0" borderId="0" xfId="4" applyNumberFormat="1" applyFont="1" applyFill="1" applyBorder="1"/>
    <xf numFmtId="43" fontId="21" fillId="0" borderId="0" xfId="2" applyNumberFormat="1" applyFont="1" applyFill="1" applyBorder="1"/>
    <xf numFmtId="43" fontId="22" fillId="0" borderId="0" xfId="3" applyNumberFormat="1" applyFont="1" applyFill="1" applyBorder="1"/>
    <xf numFmtId="0" fontId="20" fillId="0" borderId="0" xfId="2" applyFont="1" applyFill="1" applyBorder="1"/>
    <xf numFmtId="0" fontId="19" fillId="0" borderId="6" xfId="0" applyFont="1" applyBorder="1"/>
    <xf numFmtId="0" fontId="19" fillId="0" borderId="6" xfId="0" applyFont="1" applyBorder="1" applyAlignment="1">
      <alignment horizontal="left"/>
    </xf>
    <xf numFmtId="43" fontId="19" fillId="0" borderId="6" xfId="1" applyFont="1" applyBorder="1"/>
    <xf numFmtId="43" fontId="19" fillId="0" borderId="6" xfId="1" applyFont="1" applyFill="1" applyBorder="1"/>
    <xf numFmtId="0" fontId="19" fillId="0" borderId="6" xfId="0" applyFont="1" applyBorder="1" applyAlignment="1">
      <alignment wrapText="1"/>
    </xf>
    <xf numFmtId="43" fontId="18" fillId="0" borderId="1" xfId="1" applyFont="1" applyFill="1" applyBorder="1" applyAlignment="1">
      <alignment horizontal="center" wrapText="1"/>
    </xf>
    <xf numFmtId="9" fontId="18" fillId="0" borderId="0" xfId="0" applyNumberFormat="1" applyFont="1" applyAlignment="1">
      <alignment horizontal="center" wrapText="1"/>
    </xf>
    <xf numFmtId="9" fontId="18" fillId="0" borderId="0" xfId="1" applyNumberFormat="1" applyFont="1" applyAlignment="1">
      <alignment horizontal="center" wrapText="1"/>
    </xf>
    <xf numFmtId="43" fontId="23" fillId="0" borderId="0" xfId="1" applyFont="1"/>
    <xf numFmtId="0" fontId="23" fillId="0" borderId="0" xfId="0" applyFont="1"/>
    <xf numFmtId="0" fontId="23" fillId="0" borderId="0" xfId="0" applyFont="1" applyAlignment="1">
      <alignment wrapText="1"/>
    </xf>
    <xf numFmtId="0" fontId="11" fillId="0" borderId="13" xfId="2" quotePrefix="1" applyFont="1" applyFill="1" applyBorder="1" applyAlignment="1">
      <alignment horizontal="center"/>
    </xf>
    <xf numFmtId="0" fontId="11" fillId="0" borderId="1" xfId="2" applyFont="1" applyFill="1" applyBorder="1"/>
    <xf numFmtId="0" fontId="11" fillId="0" borderId="1" xfId="2" quotePrefix="1" applyFont="1" applyFill="1" applyBorder="1" applyAlignment="1">
      <alignment horizontal="center"/>
    </xf>
    <xf numFmtId="43" fontId="11" fillId="0" borderId="14" xfId="5" applyNumberFormat="1" applyFont="1" applyFill="1" applyBorder="1" applyAlignment="1">
      <alignment horizontal="center"/>
    </xf>
    <xf numFmtId="0" fontId="24" fillId="0" borderId="0" xfId="0" applyFont="1"/>
    <xf numFmtId="0" fontId="25" fillId="0" borderId="0" xfId="2" applyFont="1" applyFill="1"/>
    <xf numFmtId="43" fontId="25" fillId="0" borderId="0" xfId="5" applyNumberFormat="1" applyFont="1" applyFill="1" applyAlignment="1">
      <alignment horizontal="center"/>
    </xf>
    <xf numFmtId="0" fontId="27" fillId="0" borderId="0" xfId="0" applyFont="1"/>
    <xf numFmtId="0" fontId="26" fillId="0" borderId="0" xfId="2" applyFont="1" applyFill="1"/>
    <xf numFmtId="0" fontId="28" fillId="0" borderId="0" xfId="2" applyFont="1" applyFill="1" applyAlignment="1">
      <alignment horizontal="left"/>
    </xf>
    <xf numFmtId="0" fontId="28" fillId="0" borderId="0" xfId="2" applyFont="1" applyFill="1" applyAlignment="1">
      <alignment horizontal="center"/>
    </xf>
    <xf numFmtId="0" fontId="25" fillId="0" borderId="0" xfId="2" quotePrefix="1" applyFont="1" applyFill="1"/>
    <xf numFmtId="43" fontId="26" fillId="0" borderId="17" xfId="5" applyNumberFormat="1" applyFont="1" applyFill="1" applyBorder="1" applyAlignment="1">
      <alignment horizontal="center"/>
    </xf>
    <xf numFmtId="0" fontId="7" fillId="0" borderId="0" xfId="2" applyFont="1" applyFill="1" applyBorder="1"/>
    <xf numFmtId="0" fontId="25" fillId="0" borderId="15" xfId="2" applyFont="1" applyFill="1" applyBorder="1" applyAlignment="1">
      <alignment horizontal="center"/>
    </xf>
    <xf numFmtId="0" fontId="25" fillId="0" borderId="16" xfId="2" applyFont="1" applyFill="1" applyBorder="1"/>
    <xf numFmtId="1" fontId="25" fillId="0" borderId="16" xfId="2" applyNumberFormat="1" applyFont="1" applyFill="1" applyBorder="1" applyAlignment="1">
      <alignment horizontal="center"/>
    </xf>
    <xf numFmtId="0" fontId="25" fillId="0" borderId="13" xfId="2" quotePrefix="1" applyFont="1" applyFill="1" applyBorder="1" applyAlignment="1">
      <alignment horizontal="center"/>
    </xf>
    <xf numFmtId="0" fontId="25" fillId="0" borderId="1" xfId="2" applyFont="1" applyFill="1" applyBorder="1"/>
    <xf numFmtId="0" fontId="25" fillId="0" borderId="1" xfId="2" quotePrefix="1" applyFont="1" applyFill="1" applyBorder="1" applyAlignment="1">
      <alignment horizontal="center"/>
    </xf>
    <xf numFmtId="43" fontId="25" fillId="0" borderId="14" xfId="5" applyNumberFormat="1" applyFont="1" applyFill="1" applyBorder="1" applyAlignment="1">
      <alignment horizontal="center"/>
    </xf>
    <xf numFmtId="1" fontId="7" fillId="0" borderId="0" xfId="2" applyNumberFormat="1" applyFont="1" applyFill="1" applyBorder="1" applyAlignment="1">
      <alignment horizontal="center"/>
    </xf>
    <xf numFmtId="0" fontId="10" fillId="0" borderId="0" xfId="0" applyFont="1"/>
    <xf numFmtId="0" fontId="13" fillId="0" borderId="0" xfId="0" applyFont="1"/>
    <xf numFmtId="0" fontId="10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168" fontId="11" fillId="0" borderId="7" xfId="1" applyNumberFormat="1" applyFont="1" applyFill="1" applyBorder="1" applyAlignment="1">
      <alignment horizontal="center"/>
    </xf>
    <xf numFmtId="168" fontId="11" fillId="0" borderId="7" xfId="1" applyNumberFormat="1" applyFont="1" applyFill="1" applyBorder="1" applyAlignment="1">
      <alignment horizontal="left"/>
    </xf>
    <xf numFmtId="169" fontId="11" fillId="0" borderId="7" xfId="1" applyNumberFormat="1" applyFont="1" applyFill="1" applyBorder="1"/>
    <xf numFmtId="168" fontId="11" fillId="0" borderId="1" xfId="1" applyNumberFormat="1" applyFont="1" applyFill="1" applyBorder="1" applyAlignment="1">
      <alignment horizontal="center"/>
    </xf>
    <xf numFmtId="168" fontId="11" fillId="0" borderId="1" xfId="1" applyNumberFormat="1" applyFont="1" applyFill="1" applyBorder="1" applyAlignment="1">
      <alignment horizontal="left"/>
    </xf>
    <xf numFmtId="169" fontId="11" fillId="0" borderId="1" xfId="1" applyNumberFormat="1" applyFont="1" applyFill="1" applyBorder="1"/>
    <xf numFmtId="168" fontId="11" fillId="0" borderId="9" xfId="1" applyNumberFormat="1" applyFont="1" applyFill="1" applyBorder="1" applyAlignment="1">
      <alignment horizontal="center"/>
    </xf>
    <xf numFmtId="169" fontId="11" fillId="0" borderId="9" xfId="1" applyNumberFormat="1" applyFont="1" applyFill="1" applyBorder="1"/>
    <xf numFmtId="0" fontId="13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69" fontId="10" fillId="0" borderId="8" xfId="0" applyNumberFormat="1" applyFont="1" applyBorder="1"/>
    <xf numFmtId="0" fontId="13" fillId="0" borderId="8" xfId="0" applyFont="1" applyBorder="1"/>
    <xf numFmtId="0" fontId="9" fillId="0" borderId="1" xfId="0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3" fontId="11" fillId="0" borderId="1" xfId="1" applyFont="1" applyFill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43" fontId="9" fillId="0" borderId="5" xfId="1" applyFont="1" applyBorder="1"/>
    <xf numFmtId="172" fontId="29" fillId="0" borderId="18" xfId="13" applyFont="1" applyFill="1" applyBorder="1" applyAlignment="1" applyProtection="1">
      <alignment horizontal="center"/>
    </xf>
    <xf numFmtId="172" fontId="29" fillId="0" borderId="0" xfId="13" applyFont="1" applyFill="1" applyBorder="1" applyAlignment="1" applyProtection="1">
      <alignment horizontal="center"/>
    </xf>
    <xf numFmtId="43" fontId="0" fillId="0" borderId="0" xfId="1" applyFont="1"/>
    <xf numFmtId="0" fontId="0" fillId="0" borderId="4" xfId="0" applyBorder="1"/>
    <xf numFmtId="43" fontId="0" fillId="0" borderId="4" xfId="1" applyFont="1" applyBorder="1"/>
    <xf numFmtId="0" fontId="3" fillId="0" borderId="4" xfId="0" applyFont="1" applyBorder="1"/>
    <xf numFmtId="43" fontId="3" fillId="0" borderId="4" xfId="1" applyFont="1" applyBorder="1"/>
    <xf numFmtId="0" fontId="19" fillId="0" borderId="1" xfId="0" applyFont="1" applyFill="1" applyBorder="1"/>
    <xf numFmtId="0" fontId="19" fillId="0" borderId="1" xfId="0" applyFont="1" applyFill="1" applyBorder="1" applyAlignment="1"/>
    <xf numFmtId="0" fontId="19" fillId="0" borderId="1" xfId="0" quotePrefix="1" applyFont="1" applyFill="1" applyBorder="1" applyAlignment="1">
      <alignment horizontal="left"/>
    </xf>
    <xf numFmtId="0" fontId="19" fillId="0" borderId="0" xfId="0" applyFont="1" applyFill="1"/>
    <xf numFmtId="165" fontId="19" fillId="0" borderId="0" xfId="0" applyNumberFormat="1" applyFont="1" applyFill="1"/>
    <xf numFmtId="43" fontId="19" fillId="0" borderId="0" xfId="0" applyNumberFormat="1" applyFont="1" applyFill="1"/>
    <xf numFmtId="43" fontId="19" fillId="0" borderId="0" xfId="1" applyFont="1" applyFill="1" applyAlignment="1">
      <alignment horizontal="center"/>
    </xf>
    <xf numFmtId="43" fontId="19" fillId="0" borderId="0" xfId="1" applyFont="1" applyFill="1" applyAlignment="1">
      <alignment horizontal="center" wrapText="1"/>
    </xf>
    <xf numFmtId="0" fontId="17" fillId="0" borderId="1" xfId="0" applyFont="1" applyFill="1" applyBorder="1"/>
    <xf numFmtId="0" fontId="17" fillId="0" borderId="1" xfId="0" applyFont="1" applyFill="1" applyBorder="1" applyAlignment="1"/>
    <xf numFmtId="0" fontId="1" fillId="0" borderId="1" xfId="2" applyFont="1" applyFill="1" applyBorder="1" applyAlignment="1">
      <alignment horizontal="left"/>
    </xf>
    <xf numFmtId="171" fontId="31" fillId="0" borderId="1" xfId="12" applyFont="1" applyFill="1" applyBorder="1"/>
    <xf numFmtId="43" fontId="17" fillId="0" borderId="1" xfId="1" applyFont="1" applyFill="1" applyBorder="1"/>
    <xf numFmtId="165" fontId="17" fillId="0" borderId="1" xfId="0" applyNumberFormat="1" applyFont="1" applyFill="1" applyBorder="1"/>
    <xf numFmtId="43" fontId="17" fillId="0" borderId="1" xfId="0" applyNumberFormat="1" applyFont="1" applyFill="1" applyBorder="1"/>
    <xf numFmtId="43" fontId="17" fillId="0" borderId="1" xfId="1" applyFont="1" applyFill="1" applyBorder="1" applyAlignment="1">
      <alignment horizontal="center"/>
    </xf>
    <xf numFmtId="43" fontId="17" fillId="0" borderId="1" xfId="1" applyFont="1" applyFill="1" applyBorder="1" applyAlignment="1">
      <alignment horizontal="center" wrapText="1"/>
    </xf>
    <xf numFmtId="165" fontId="17" fillId="0" borderId="0" xfId="0" applyNumberFormat="1" applyFont="1" applyFill="1"/>
    <xf numFmtId="43" fontId="17" fillId="0" borderId="0" xfId="1" applyFont="1" applyFill="1"/>
    <xf numFmtId="0" fontId="17" fillId="0" borderId="0" xfId="0" applyFont="1" applyFill="1"/>
    <xf numFmtId="0" fontId="30" fillId="0" borderId="1" xfId="0" applyFont="1" applyFill="1" applyBorder="1"/>
    <xf numFmtId="0" fontId="18" fillId="0" borderId="0" xfId="0" applyFont="1" applyAlignment="1">
      <alignment horizontal="left" wrapText="1"/>
    </xf>
    <xf numFmtId="0" fontId="24" fillId="0" borderId="0" xfId="0" applyFont="1" applyFill="1"/>
    <xf numFmtId="171" fontId="31" fillId="0" borderId="1" xfId="12" quotePrefix="1" applyFont="1" applyFill="1" applyBorder="1"/>
    <xf numFmtId="0" fontId="16" fillId="0" borderId="1" xfId="0" applyFont="1" applyFill="1" applyBorder="1" applyAlignment="1">
      <alignment horizontal="center" wrapText="1"/>
    </xf>
    <xf numFmtId="43" fontId="0" fillId="0" borderId="0" xfId="0" applyNumberFormat="1"/>
    <xf numFmtId="9" fontId="0" fillId="0" borderId="0" xfId="210" applyFont="1"/>
    <xf numFmtId="43" fontId="3" fillId="0" borderId="0" xfId="1" applyFont="1" applyBorder="1"/>
    <xf numFmtId="43" fontId="3" fillId="0" borderId="2" xfId="1" applyFont="1" applyBorder="1"/>
    <xf numFmtId="43" fontId="0" fillId="0" borderId="2" xfId="0" applyNumberFormat="1" applyBorder="1"/>
    <xf numFmtId="43" fontId="0" fillId="0" borderId="19" xfId="0" applyNumberFormat="1" applyBorder="1"/>
    <xf numFmtId="0" fontId="18" fillId="0" borderId="0" xfId="0" applyFont="1" applyAlignment="1">
      <alignment horizontal="left" wrapText="1"/>
    </xf>
    <xf numFmtId="0" fontId="17" fillId="0" borderId="1" xfId="0" applyFont="1" applyBorder="1" applyAlignment="1">
      <alignment horizontal="center" wrapText="1"/>
    </xf>
    <xf numFmtId="0" fontId="25" fillId="0" borderId="0" xfId="2" applyFont="1" applyFill="1" applyAlignment="1">
      <alignment horizontal="left"/>
    </xf>
  </cellXfs>
  <cellStyles count="211">
    <cellStyle name="Comma" xfId="1" builtinId="3"/>
    <cellStyle name="Comma 10" xfId="6" xr:uid="{00000000-0005-0000-0000-000001000000}"/>
    <cellStyle name="Comma 2" xfId="10" xr:uid="{00000000-0005-0000-0000-000002000000}"/>
    <cellStyle name="Comma 2 2" xfId="7" xr:uid="{00000000-0005-0000-0000-000003000000}"/>
    <cellStyle name="Comma 5" xfId="5" xr:uid="{00000000-0005-0000-0000-000004000000}"/>
    <cellStyle name="Comma 6" xfId="3" xr:uid="{00000000-0005-0000-0000-000005000000}"/>
    <cellStyle name="Comma 7" xfId="8" xr:uid="{00000000-0005-0000-0000-000006000000}"/>
    <cellStyle name="Comma 8" xfId="4" xr:uid="{00000000-0005-0000-0000-000007000000}"/>
    <cellStyle name="Comma 9" xfId="9" xr:uid="{00000000-0005-0000-0000-000008000000}"/>
    <cellStyle name="Excel Built-in Comma" xfId="13" xr:uid="{00000000-0005-0000-0000-000009000000}"/>
    <cellStyle name="Excel Built-in Normal" xfId="12" xr:uid="{00000000-0005-0000-0000-00000A000000}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Normal" xfId="0" builtinId="0"/>
    <cellStyle name="Normal 2" xfId="2" xr:uid="{00000000-0005-0000-0000-0000D0000000}"/>
    <cellStyle name="Normal 2 2" xfId="11" xr:uid="{00000000-0005-0000-0000-0000D1000000}"/>
    <cellStyle name="Percent" xfId="2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n/Downloads/20170430%20Payroll%20JTB%20G-EURAFRIC%20APRIL%202017-updated%20B%20(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EB%2017%20SALARY/BANK%20INSTRUCTIONS%20Jan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E COMPUTATION"/>
      <sheetName val="GRADUATED TAX RATE"/>
      <sheetName val="BANK SCHEDULE - EOCS Jun 2016"/>
      <sheetName val="BANK SCHEDULE- EEL Jun 2016"/>
      <sheetName val="BANK SCHEDULE- NOLY Jun 2016"/>
      <sheetName val="MASTER FILE- EOCSL (2)"/>
      <sheetName val="Sheet2"/>
      <sheetName val="MASTER FILE- EOCSL"/>
      <sheetName val="MASTER FILE- EEL "/>
      <sheetName val="MASTER FILE- Noly "/>
      <sheetName val="MASTER FILE- Smart Grid"/>
      <sheetName val="BANK SCHEDULE - EOSC NEW"/>
      <sheetName val="BANK SCHEDULE - EOSC "/>
      <sheetName val="BANK SCHEDULE- EEL"/>
      <sheetName val="BANK SCHEDULE- Smart Grid"/>
      <sheetName val="BANK SCHEDULE- NOLY"/>
      <sheetName val="Comparizm"/>
      <sheetName val="Comparizm- EEL July 16"/>
      <sheetName val="Comparizm- NOLY July 16"/>
      <sheetName val=" PAYSLIPS Abuja"/>
      <sheetName val=" PAYSLIPS Depot"/>
      <sheetName val="PAYSLIPS Security"/>
      <sheetName val="PAYSLIPS Head Office"/>
      <sheetName val="BANK SCHEDULE - EOSC -L"/>
      <sheetName val="BANK SCHEDULE- EEL-L"/>
      <sheetName val="BANK SCHEDULE- Smart Grid-L"/>
      <sheetName val="BANK SCHEDULE- NOLY-L"/>
      <sheetName val="Journal Entry"/>
      <sheetName val="Sheet1"/>
    </sheetNames>
    <sheetDataSet>
      <sheetData sheetId="0"/>
      <sheetData sheetId="1"/>
      <sheetData sheetId="2">
        <row r="21">
          <cell r="C21" t="str">
            <v>NAMES</v>
          </cell>
          <cell r="D21" t="str">
            <v>OLD ACCT NUMBERS</v>
          </cell>
          <cell r="E21" t="str">
            <v>NEW NUMBERS</v>
          </cell>
          <cell r="F21" t="str">
            <v>AMOUNT(N)</v>
          </cell>
        </row>
        <row r="22">
          <cell r="C22" t="str">
            <v>SIMEON ALAGBA</v>
          </cell>
          <cell r="D22" t="str">
            <v>0451060152900201</v>
          </cell>
          <cell r="E22" t="str">
            <v>0451024915</v>
          </cell>
          <cell r="F22">
            <v>32094.354166666668</v>
          </cell>
        </row>
        <row r="23">
          <cell r="C23" t="str">
            <v>FRANK OSEMEILU</v>
          </cell>
          <cell r="D23" t="str">
            <v>0451060150898601</v>
          </cell>
          <cell r="E23" t="str">
            <v>0451024441</v>
          </cell>
          <cell r="F23">
            <v>32094.354166666668</v>
          </cell>
        </row>
        <row r="24">
          <cell r="C24" t="str">
            <v>EMMANUEL OLUSEYI</v>
          </cell>
          <cell r="D24" t="str">
            <v>0451180213403901</v>
          </cell>
          <cell r="E24" t="str">
            <v>0451035036</v>
          </cell>
          <cell r="F24">
            <v>32094.354166666668</v>
          </cell>
        </row>
        <row r="25">
          <cell r="C25" t="str">
            <v>AZEEZ ADEOLA</v>
          </cell>
          <cell r="D25" t="str">
            <v>0451180228009301</v>
          </cell>
          <cell r="E25" t="str">
            <v>0451040337</v>
          </cell>
          <cell r="F25">
            <v>32094.354166666668</v>
          </cell>
        </row>
        <row r="26">
          <cell r="C26" t="str">
            <v>WAKU LAZARUS</v>
          </cell>
          <cell r="D26" t="str">
            <v>0451180228011901</v>
          </cell>
          <cell r="E26" t="str">
            <v>0451040351</v>
          </cell>
          <cell r="F26">
            <v>31024.542361111111</v>
          </cell>
        </row>
        <row r="27">
          <cell r="C27" t="str">
            <v>AMOS ZABE</v>
          </cell>
          <cell r="D27" t="str">
            <v>0451180236861901</v>
          </cell>
          <cell r="E27" t="str">
            <v>0451043015</v>
          </cell>
          <cell r="F27">
            <v>32094.354166666668</v>
          </cell>
        </row>
        <row r="28">
          <cell r="C28" t="str">
            <v>ALINETOR DANIEL</v>
          </cell>
          <cell r="D28" t="str">
            <v>0451180247316801</v>
          </cell>
          <cell r="E28" t="str">
            <v>0451059038</v>
          </cell>
          <cell r="F28">
            <v>32094.354166666668</v>
          </cell>
        </row>
        <row r="29">
          <cell r="C29" t="str">
            <v>JONATHAN JOHN</v>
          </cell>
          <cell r="D29" t="str">
            <v>0451073999</v>
          </cell>
          <cell r="E29" t="str">
            <v>0451073999</v>
          </cell>
          <cell r="F29">
            <v>32094.354166666668</v>
          </cell>
        </row>
        <row r="30">
          <cell r="C30" t="str">
            <v>SANUSI BABATUNDE  S.</v>
          </cell>
          <cell r="E30" t="str">
            <v>1501031727</v>
          </cell>
          <cell r="F30">
            <v>32094.354166666668</v>
          </cell>
        </row>
        <row r="31">
          <cell r="C31" t="str">
            <v>NWOKE OBASI</v>
          </cell>
          <cell r="E31" t="str">
            <v>1501031710</v>
          </cell>
          <cell r="F31">
            <v>52094.354166666672</v>
          </cell>
        </row>
        <row r="32">
          <cell r="C32" t="str">
            <v>BOLAJI LANRE OLAMIDE</v>
          </cell>
          <cell r="E32" t="str">
            <v>1501031844</v>
          </cell>
          <cell r="F32">
            <v>28884.918749999997</v>
          </cell>
        </row>
        <row r="33">
          <cell r="C33" t="str">
            <v>PHILLIP  LEBO</v>
          </cell>
          <cell r="D33" t="str">
            <v>0451060152826901</v>
          </cell>
          <cell r="E33" t="str">
            <v>0451024733</v>
          </cell>
          <cell r="F33">
            <v>104607.5</v>
          </cell>
        </row>
        <row r="34">
          <cell r="C34" t="str">
            <v>KAYODE ODUGBEMI</v>
          </cell>
          <cell r="D34" t="str">
            <v>0451050179377701</v>
          </cell>
          <cell r="E34" t="str">
            <v>0451015678</v>
          </cell>
          <cell r="F34">
            <v>62813.208333333336</v>
          </cell>
        </row>
        <row r="35">
          <cell r="C35" t="str">
            <v>ETIM EMMANUEL</v>
          </cell>
          <cell r="D35" t="str">
            <v>0451180217732601</v>
          </cell>
          <cell r="E35" t="str">
            <v>0451035964</v>
          </cell>
          <cell r="F35">
            <v>67111.770833333328</v>
          </cell>
        </row>
        <row r="36">
          <cell r="C36" t="str">
            <v>DORIS AKORO</v>
          </cell>
          <cell r="D36" t="str">
            <v>0451060152815201</v>
          </cell>
          <cell r="E36" t="str">
            <v>0451024726</v>
          </cell>
          <cell r="F36">
            <v>54216.083333333336</v>
          </cell>
        </row>
        <row r="37">
          <cell r="C37" t="str">
            <v>KALU EJITURU</v>
          </cell>
          <cell r="D37" t="str">
            <v>0451060152896301</v>
          </cell>
          <cell r="E37" t="str">
            <v>0451024795</v>
          </cell>
          <cell r="F37">
            <v>36354.788277777778</v>
          </cell>
        </row>
        <row r="38">
          <cell r="C38" t="str">
            <v>INU .I. OHIOMOYE</v>
          </cell>
          <cell r="D38" t="str">
            <v>0451180217734401</v>
          </cell>
          <cell r="E38" t="str">
            <v>0451035971</v>
          </cell>
          <cell r="F38">
            <v>19023.75</v>
          </cell>
        </row>
        <row r="39">
          <cell r="C39" t="str">
            <v>OKELEKE FRANCIS C.</v>
          </cell>
          <cell r="D39" t="str">
            <v>0451180217735201</v>
          </cell>
          <cell r="E39" t="str">
            <v>0451035995</v>
          </cell>
          <cell r="F39">
            <v>16645.78125</v>
          </cell>
        </row>
        <row r="40">
          <cell r="C40" t="str">
            <v>ONYEKA N. MOSES</v>
          </cell>
          <cell r="D40" t="str">
            <v>0451060152897701</v>
          </cell>
          <cell r="E40" t="str">
            <v>0451024836</v>
          </cell>
          <cell r="F40">
            <v>19083.75</v>
          </cell>
        </row>
        <row r="41">
          <cell r="C41" t="str">
            <v>CHUKWUDI C. FRANCIS</v>
          </cell>
          <cell r="D41" t="str">
            <v>0451060152897901</v>
          </cell>
          <cell r="E41" t="str">
            <v>0451024843</v>
          </cell>
          <cell r="F41">
            <v>20609.0625</v>
          </cell>
        </row>
        <row r="42">
          <cell r="C42" t="str">
            <v>EVERASTUS ADOR</v>
          </cell>
          <cell r="D42" t="str">
            <v>0061092795</v>
          </cell>
          <cell r="E42" t="str">
            <v>0061092795</v>
          </cell>
          <cell r="F42">
            <v>22311.875</v>
          </cell>
        </row>
        <row r="43">
          <cell r="C43" t="str">
            <v>PATRICK OKOLIE</v>
          </cell>
          <cell r="D43" t="str">
            <v>0061093084</v>
          </cell>
          <cell r="E43" t="str">
            <v>0061093084</v>
          </cell>
          <cell r="F43">
            <v>22311.875</v>
          </cell>
        </row>
        <row r="44">
          <cell r="C44" t="str">
            <v>OLAMOYEGUN EZEKIEL OLAWOLE</v>
          </cell>
          <cell r="D44" t="str">
            <v>0061092348</v>
          </cell>
          <cell r="E44" t="str">
            <v>0061092348</v>
          </cell>
          <cell r="F44">
            <v>21542.5</v>
          </cell>
        </row>
        <row r="45">
          <cell r="C45" t="str">
            <v>ONORIODE ODJEGBA</v>
          </cell>
          <cell r="D45" t="str">
            <v>0451180213430401</v>
          </cell>
          <cell r="E45" t="str">
            <v>0451035098</v>
          </cell>
          <cell r="F45">
            <v>631513.33333333326</v>
          </cell>
        </row>
        <row r="46">
          <cell r="C46" t="str">
            <v>OFOMATA CHINWE</v>
          </cell>
          <cell r="D46" t="str">
            <v>0452013011</v>
          </cell>
          <cell r="E46" t="str">
            <v>0452013011</v>
          </cell>
          <cell r="F46">
            <v>287288.95833333331</v>
          </cell>
        </row>
        <row r="47">
          <cell r="C47" t="str">
            <v>CHINWE MUANYA</v>
          </cell>
          <cell r="D47" t="str">
            <v>0451180256179001</v>
          </cell>
          <cell r="E47" t="str">
            <v>0451070211</v>
          </cell>
          <cell r="F47">
            <v>247009.58333333334</v>
          </cell>
        </row>
        <row r="48">
          <cell r="C48" t="str">
            <v>CHIORI NNENNAYA</v>
          </cell>
          <cell r="D48" t="str">
            <v>0451010256155801</v>
          </cell>
          <cell r="E48" t="str">
            <v>0451070297</v>
          </cell>
          <cell r="F48">
            <v>129395.20833333334</v>
          </cell>
        </row>
        <row r="50">
          <cell r="F50">
            <v>2130597.676472222</v>
          </cell>
        </row>
        <row r="62">
          <cell r="C62" t="str">
            <v xml:space="preserve">     </v>
          </cell>
        </row>
        <row r="69">
          <cell r="C69" t="str">
            <v xml:space="preserve"> </v>
          </cell>
        </row>
        <row r="78">
          <cell r="C78" t="str">
            <v>NAMES</v>
          </cell>
          <cell r="D78" t="str">
            <v>OLD ACCT NUMBERS</v>
          </cell>
          <cell r="E78" t="str">
            <v>ACCT NUMBERS</v>
          </cell>
          <cell r="F78" t="str">
            <v>AMOUNT(N)</v>
          </cell>
        </row>
        <row r="79">
          <cell r="C79" t="str">
            <v>AJAYI AKINOLA</v>
          </cell>
          <cell r="D79" t="str">
            <v>0452012351</v>
          </cell>
          <cell r="E79" t="str">
            <v>0452012351</v>
          </cell>
          <cell r="F79">
            <v>90496.4375</v>
          </cell>
        </row>
        <row r="80">
          <cell r="C80" t="str">
            <v>ODILI JAMES</v>
          </cell>
          <cell r="D80" t="str">
            <v>0451035232</v>
          </cell>
          <cell r="E80" t="str">
            <v>0451035232</v>
          </cell>
          <cell r="F80">
            <v>116145.36874999999</v>
          </cell>
        </row>
        <row r="81">
          <cell r="C81" t="str">
            <v>SANNI FLORENCE</v>
          </cell>
          <cell r="D81" t="str">
            <v>0451180222666801</v>
          </cell>
          <cell r="E81" t="str">
            <v>0451180222666801</v>
          </cell>
          <cell r="F81">
            <v>71410.333333333328</v>
          </cell>
        </row>
        <row r="82">
          <cell r="C82" t="str">
            <v>ROTIMI VAUGHAN</v>
          </cell>
          <cell r="D82" t="str">
            <v>0641030164</v>
          </cell>
          <cell r="E82" t="str">
            <v>0641030164</v>
          </cell>
          <cell r="F82">
            <v>96306.875</v>
          </cell>
        </row>
        <row r="83">
          <cell r="C83" t="str">
            <v>WAHAB SALIU</v>
          </cell>
          <cell r="D83" t="str">
            <v>0451060161495401</v>
          </cell>
          <cell r="E83" t="str">
            <v>0451025101</v>
          </cell>
          <cell r="F83">
            <v>62813.208333333336</v>
          </cell>
        </row>
        <row r="84">
          <cell r="C84" t="str">
            <v>BERNARD FADAYOMI</v>
          </cell>
          <cell r="D84" t="str">
            <v>0451060150919601</v>
          </cell>
          <cell r="E84" t="str">
            <v>0451024513</v>
          </cell>
          <cell r="F84">
            <v>59216.083333333336</v>
          </cell>
        </row>
        <row r="85">
          <cell r="C85" t="str">
            <v>ADESANYA SURAKATT</v>
          </cell>
          <cell r="D85" t="str">
            <v>0451024427</v>
          </cell>
          <cell r="E85" t="str">
            <v>0451024427</v>
          </cell>
          <cell r="F85">
            <v>40987.979166666664</v>
          </cell>
        </row>
        <row r="86">
          <cell r="C86" t="str">
            <v>CHIDI SOLOMON</v>
          </cell>
          <cell r="D86" t="str">
            <v>0451038903</v>
          </cell>
          <cell r="E86" t="str">
            <v>0451038903</v>
          </cell>
          <cell r="F86">
            <v>40987.979166666664</v>
          </cell>
        </row>
        <row r="87">
          <cell r="C87" t="str">
            <v>FATAI TIRIMISIYU</v>
          </cell>
          <cell r="D87" t="str">
            <v>0451038910</v>
          </cell>
          <cell r="E87" t="str">
            <v>0451038910</v>
          </cell>
          <cell r="F87">
            <v>40987.979166666664</v>
          </cell>
        </row>
        <row r="88">
          <cell r="C88" t="str">
            <v>DAVID EMEKA OHAI</v>
          </cell>
          <cell r="D88" t="str">
            <v>0451024489</v>
          </cell>
          <cell r="E88" t="str">
            <v>0451024489</v>
          </cell>
          <cell r="F88">
            <v>45434.791666666664</v>
          </cell>
        </row>
        <row r="89">
          <cell r="C89" t="str">
            <v>CHRISTIAN EZENWERE</v>
          </cell>
          <cell r="D89" t="str">
            <v>0451180213402501</v>
          </cell>
          <cell r="E89" t="str">
            <v>0451035029</v>
          </cell>
          <cell r="F89">
            <v>49881.604166666664</v>
          </cell>
        </row>
        <row r="90">
          <cell r="C90" t="str">
            <v>OLAWALE AIYEKOBINU</v>
          </cell>
          <cell r="E90" t="str">
            <v>1501032023</v>
          </cell>
          <cell r="F90">
            <v>167732.5</v>
          </cell>
        </row>
        <row r="91">
          <cell r="C91" t="str">
            <v>JOSEPH DADA ADEYEMI</v>
          </cell>
          <cell r="E91" t="str">
            <v>1503005199</v>
          </cell>
          <cell r="F91">
            <v>26647.541666666668</v>
          </cell>
        </row>
        <row r="92">
          <cell r="C92" t="str">
            <v>ODUPE STEPHEN TOLULOPE</v>
          </cell>
          <cell r="E92" t="str">
            <v>1503005137</v>
          </cell>
          <cell r="F92">
            <v>206230.20833333331</v>
          </cell>
        </row>
        <row r="93">
          <cell r="C93" t="str">
            <v>EJIOFOR CHIAMAKA</v>
          </cell>
          <cell r="E93">
            <v>2351216586</v>
          </cell>
          <cell r="F93">
            <v>62813.208333333336</v>
          </cell>
        </row>
        <row r="94">
          <cell r="C94" t="str">
            <v>OKEKE ERNEST OKECHUKWU</v>
          </cell>
          <cell r="E94">
            <v>3681000801</v>
          </cell>
          <cell r="F94">
            <v>232297.83333333331</v>
          </cell>
        </row>
        <row r="95">
          <cell r="C95" t="str">
            <v>ADEREMI ADEWALE VICTOR</v>
          </cell>
          <cell r="E95">
            <v>1503005261</v>
          </cell>
          <cell r="F95">
            <v>208230.20833333331</v>
          </cell>
        </row>
        <row r="96">
          <cell r="C96" t="str">
            <v>IKHINE GODDY</v>
          </cell>
          <cell r="E96">
            <v>1503005247</v>
          </cell>
          <cell r="F96">
            <v>134457.70833333334</v>
          </cell>
        </row>
        <row r="97">
          <cell r="C97" t="str">
            <v>ONALO MONDAY</v>
          </cell>
          <cell r="E97">
            <v>1503005230</v>
          </cell>
          <cell r="F97">
            <v>26647.541666666668</v>
          </cell>
        </row>
        <row r="98">
          <cell r="C98" t="str">
            <v>AKHABUE BRIGHT</v>
          </cell>
          <cell r="E98">
            <v>1503005254</v>
          </cell>
          <cell r="F98">
            <v>26647.541666666668</v>
          </cell>
        </row>
        <row r="99">
          <cell r="C99" t="str">
            <v>BELLO FALILU</v>
          </cell>
          <cell r="E99" t="str">
            <v>0193005612</v>
          </cell>
          <cell r="F99">
            <v>26647.541666666668</v>
          </cell>
        </row>
        <row r="100">
          <cell r="C100" t="str">
            <v>INYANG SUNDAY JAMES</v>
          </cell>
          <cell r="E100" t="str">
            <v>0463004170</v>
          </cell>
          <cell r="F100">
            <v>26647.541666666668</v>
          </cell>
        </row>
        <row r="101">
          <cell r="C101" t="str">
            <v>NWACHUKWU TIMOTHY OGU</v>
          </cell>
          <cell r="E101">
            <v>4413059960</v>
          </cell>
          <cell r="F101">
            <v>26647.541666666668</v>
          </cell>
        </row>
        <row r="102">
          <cell r="C102" t="str">
            <v>IPADEOLA JOHNSON OLANIYI</v>
          </cell>
          <cell r="E102">
            <v>2631002281</v>
          </cell>
          <cell r="F102">
            <v>26647.541666666668</v>
          </cell>
        </row>
        <row r="103">
          <cell r="C103" t="str">
            <v>ABIMBOLA O. OJOSIPE</v>
          </cell>
          <cell r="E103">
            <v>1503059910</v>
          </cell>
          <cell r="F103">
            <v>206230.20833333331</v>
          </cell>
        </row>
        <row r="104">
          <cell r="C104" t="str">
            <v>UDAUKABASI OKON THOMAS</v>
          </cell>
          <cell r="E104">
            <v>1803060724</v>
          </cell>
          <cell r="F104">
            <v>24871.038888888885</v>
          </cell>
        </row>
        <row r="105">
          <cell r="C105" t="str">
            <v>NSE-ABASI EBONG</v>
          </cell>
          <cell r="E105">
            <v>3273060073</v>
          </cell>
          <cell r="F105">
            <v>21541.166666666664</v>
          </cell>
        </row>
        <row r="106">
          <cell r="C106" t="str">
            <v>NNAMDI OJE UTI</v>
          </cell>
          <cell r="E106">
            <v>2402007231</v>
          </cell>
          <cell r="F106">
            <v>362840.83333333337</v>
          </cell>
        </row>
        <row r="108">
          <cell r="D108" t="str">
            <v>GRAND TOTAL</v>
          </cell>
          <cell r="F108">
            <v>2528446.3451388888</v>
          </cell>
        </row>
        <row r="121">
          <cell r="C121" t="str">
            <v>Name</v>
          </cell>
          <cell r="D121">
            <v>41640</v>
          </cell>
          <cell r="E121" t="str">
            <v>June, 16</v>
          </cell>
          <cell r="F121" t="str">
            <v>Amount</v>
          </cell>
        </row>
        <row r="122">
          <cell r="F122" t="str">
            <v>=N=</v>
          </cell>
        </row>
        <row r="123">
          <cell r="C123" t="str">
            <v>Monday Udoh</v>
          </cell>
          <cell r="E123" t="str">
            <v>Garderner (Domestic)</v>
          </cell>
          <cell r="F123">
            <v>30000</v>
          </cell>
        </row>
        <row r="124">
          <cell r="C124" t="str">
            <v>DESEYE DONA FOH</v>
          </cell>
          <cell r="E124" t="str">
            <v>NYSC CORP MEMBER</v>
          </cell>
          <cell r="F124">
            <v>25000</v>
          </cell>
        </row>
        <row r="125">
          <cell r="C125" t="str">
            <v xml:space="preserve">Gambo </v>
          </cell>
          <cell r="E125" t="str">
            <v>Security - Awoyaya</v>
          </cell>
          <cell r="F125">
            <v>15000</v>
          </cell>
        </row>
        <row r="126">
          <cell r="C126" t="str">
            <v>Benson Olugbeje</v>
          </cell>
          <cell r="E126" t="str">
            <v>Depot Cleaner</v>
          </cell>
          <cell r="F126">
            <v>20000</v>
          </cell>
        </row>
        <row r="127">
          <cell r="C127" t="str">
            <v>BASSEY GOODNESS O.</v>
          </cell>
          <cell r="E127" t="str">
            <v>SECURITY</v>
          </cell>
          <cell r="F127">
            <v>26647.541666666668</v>
          </cell>
        </row>
        <row r="128">
          <cell r="C128" t="str">
            <v>PETER EMEKA I</v>
          </cell>
          <cell r="F128">
            <v>26647.541666666668</v>
          </cell>
        </row>
        <row r="129">
          <cell r="E129" t="str">
            <v>GRAND TOTAL</v>
          </cell>
          <cell r="F129">
            <v>143295.08333333334</v>
          </cell>
        </row>
        <row r="139">
          <cell r="E139" t="str">
            <v>EOCS LTD</v>
          </cell>
        </row>
        <row r="140">
          <cell r="E140">
            <v>4737339.1049444452</v>
          </cell>
          <cell r="F140" t="str">
            <v>MASTER</v>
          </cell>
        </row>
        <row r="141">
          <cell r="E141">
            <v>4802339.1049444443</v>
          </cell>
          <cell r="F141" t="str">
            <v>BANK SCHEDULE</v>
          </cell>
        </row>
        <row r="142">
          <cell r="E142">
            <v>-64999.999999999069</v>
          </cell>
          <cell r="F142" t="str">
            <v>DIFF</v>
          </cell>
        </row>
        <row r="144">
          <cell r="E144" t="str">
            <v>Total Net Salary EOCS &amp; EEL</v>
          </cell>
        </row>
        <row r="145">
          <cell r="E145">
            <v>4802339.1049444443</v>
          </cell>
          <cell r="F145" t="str">
            <v>EOCS</v>
          </cell>
        </row>
        <row r="146">
          <cell r="E146">
            <v>2190972.652777778</v>
          </cell>
          <cell r="F146" t="str">
            <v>EEL</v>
          </cell>
        </row>
        <row r="147">
          <cell r="E147">
            <v>6993311.7577222222</v>
          </cell>
        </row>
        <row r="148">
          <cell r="F148" t="str">
            <v>DESEYE DONA FOH</v>
          </cell>
        </row>
        <row r="149">
          <cell r="E149">
            <v>6993311.7577222222</v>
          </cell>
          <cell r="F149" t="str">
            <v>TOTAL NET PAY</v>
          </cell>
        </row>
        <row r="151">
          <cell r="E151">
            <v>6928311.7577222232</v>
          </cell>
          <cell r="F151" t="str">
            <v>TOTAL SCHEDULE</v>
          </cell>
        </row>
        <row r="153">
          <cell r="E153">
            <v>64999.999999999069</v>
          </cell>
        </row>
      </sheetData>
      <sheetData sheetId="3">
        <row r="14">
          <cell r="D14" t="str">
            <v xml:space="preserve"> </v>
          </cell>
        </row>
        <row r="24">
          <cell r="C24" t="str">
            <v>NAMES</v>
          </cell>
          <cell r="D24" t="str">
            <v>ACCOUNT NUMBERS</v>
          </cell>
          <cell r="E24" t="str">
            <v>AMOUNT(N)</v>
          </cell>
        </row>
        <row r="25">
          <cell r="C25" t="str">
            <v>SUBERU HEATHER CIWEKU</v>
          </cell>
          <cell r="D25" t="str">
            <v>1502002823</v>
          </cell>
          <cell r="E25">
            <v>784183.33333333337</v>
          </cell>
        </row>
        <row r="26">
          <cell r="C26" t="str">
            <v>MAIMUNA ACHIMUGU</v>
          </cell>
          <cell r="D26" t="str">
            <v>0451026294</v>
          </cell>
          <cell r="E26">
            <v>207730.20833333331</v>
          </cell>
        </row>
        <row r="27">
          <cell r="C27" t="str">
            <v>HENRY OMOREGIE</v>
          </cell>
          <cell r="D27" t="str">
            <v>0121100868</v>
          </cell>
          <cell r="E27">
            <v>104607.5</v>
          </cell>
        </row>
        <row r="28">
          <cell r="C28" t="str">
            <v>EGBADON GODSWILL</v>
          </cell>
          <cell r="D28" t="str">
            <v>0121100844</v>
          </cell>
          <cell r="E28">
            <v>87506.25</v>
          </cell>
        </row>
        <row r="29">
          <cell r="C29" t="str">
            <v>TIJANI TAIWO</v>
          </cell>
          <cell r="D29">
            <v>4291171912</v>
          </cell>
          <cell r="E29">
            <v>103107.5</v>
          </cell>
        </row>
        <row r="30">
          <cell r="C30" t="str">
            <v>VIVIAN TARUAYEN</v>
          </cell>
          <cell r="D30" t="str">
            <v>0121100875</v>
          </cell>
          <cell r="E30">
            <v>70910.333333333328</v>
          </cell>
        </row>
        <row r="31">
          <cell r="C31" t="str">
            <v>PROMISE O. JOHN</v>
          </cell>
          <cell r="D31" t="str">
            <v>0122134792</v>
          </cell>
          <cell r="E31">
            <v>71410.333333333328</v>
          </cell>
        </row>
        <row r="32">
          <cell r="C32" t="str">
            <v>IBRAHIM MUSA</v>
          </cell>
          <cell r="D32" t="str">
            <v>0451035366</v>
          </cell>
          <cell r="E32">
            <v>43920.298611111109</v>
          </cell>
        </row>
        <row r="33">
          <cell r="C33" t="str">
            <v>TUNDE LAWAL</v>
          </cell>
          <cell r="D33" t="str">
            <v>0122122942</v>
          </cell>
          <cell r="E33">
            <v>40987.979166666664</v>
          </cell>
        </row>
        <row r="34">
          <cell r="C34" t="str">
            <v>ABUBAKAR S. TANKO</v>
          </cell>
          <cell r="D34" t="str">
            <v>0122152280</v>
          </cell>
          <cell r="E34">
            <v>35000</v>
          </cell>
        </row>
        <row r="35">
          <cell r="C35" t="str">
            <v>ANYAMKPA MAURICE</v>
          </cell>
          <cell r="D35" t="str">
            <v>0129602739</v>
          </cell>
          <cell r="E35">
            <v>35000</v>
          </cell>
        </row>
        <row r="36">
          <cell r="C36" t="str">
            <v>ISAAC OLUWA J.</v>
          </cell>
          <cell r="D36" t="str">
            <v>0129602722</v>
          </cell>
          <cell r="E36">
            <v>35000</v>
          </cell>
        </row>
        <row r="37">
          <cell r="C37" t="str">
            <v>DADA ENEHEZEYI AUGUSTINA</v>
          </cell>
          <cell r="D37" t="str">
            <v>0121209819</v>
          </cell>
          <cell r="E37">
            <v>23081.25</v>
          </cell>
        </row>
        <row r="38">
          <cell r="C38" t="str">
            <v>LAWAL NOAH OLUSEGUN</v>
          </cell>
          <cell r="D38" t="str">
            <v>0129621279</v>
          </cell>
          <cell r="E38">
            <v>286288.95833333331</v>
          </cell>
        </row>
        <row r="39">
          <cell r="C39" t="str">
            <v>AHAMED OHAJA AZIM</v>
          </cell>
          <cell r="D39" t="str">
            <v>0129627439</v>
          </cell>
          <cell r="E39">
            <v>18425</v>
          </cell>
        </row>
        <row r="40">
          <cell r="C40" t="str">
            <v>NWIGWE SUNDAY E.</v>
          </cell>
          <cell r="D40">
            <v>5393012365</v>
          </cell>
          <cell r="E40">
            <v>27647.541666666668</v>
          </cell>
        </row>
        <row r="41">
          <cell r="C41" t="str">
            <v>OKOEGA PATRICK N.</v>
          </cell>
          <cell r="D41">
            <v>5393012523</v>
          </cell>
          <cell r="E41">
            <v>27647.541666666668</v>
          </cell>
        </row>
        <row r="42">
          <cell r="C42" t="str">
            <v>EGEDE CHUKWUDI</v>
          </cell>
          <cell r="D42">
            <v>5393012468</v>
          </cell>
          <cell r="E42">
            <v>27647.541666666668</v>
          </cell>
        </row>
        <row r="43">
          <cell r="C43" t="str">
            <v>OSHINE COLLINS CHIKA</v>
          </cell>
          <cell r="D43" t="str">
            <v>0503017973</v>
          </cell>
          <cell r="E43">
            <v>27647.541666666668</v>
          </cell>
        </row>
        <row r="44">
          <cell r="C44" t="str">
            <v>OKAFOR CHRISTOPHER C.</v>
          </cell>
          <cell r="D44">
            <v>2921181625</v>
          </cell>
          <cell r="E44">
            <v>70910.333333333328</v>
          </cell>
        </row>
        <row r="45">
          <cell r="C45" t="str">
            <v>ABIODUN OLUWAMAYOWA O.</v>
          </cell>
          <cell r="D45" t="str">
            <v>0129634992</v>
          </cell>
          <cell r="E45">
            <v>62313.208333333336</v>
          </cell>
        </row>
        <row r="47">
          <cell r="D47" t="str">
            <v>GRAND TOTAL</v>
          </cell>
          <cell r="E47">
            <v>2190972.652777778</v>
          </cell>
        </row>
        <row r="49">
          <cell r="G49" t="str">
            <v>Net Pays</v>
          </cell>
        </row>
        <row r="50">
          <cell r="G50">
            <v>2130597.676472222</v>
          </cell>
        </row>
        <row r="51">
          <cell r="G51">
            <v>2528446.3451388888</v>
          </cell>
        </row>
        <row r="52">
          <cell r="G52">
            <v>143295.08333333334</v>
          </cell>
        </row>
        <row r="53">
          <cell r="G53">
            <v>2190972.652777778</v>
          </cell>
        </row>
        <row r="54">
          <cell r="C54" t="str">
            <v>AUTHORIZED SIGNATORY</v>
          </cell>
          <cell r="G54">
            <v>0</v>
          </cell>
        </row>
        <row r="55">
          <cell r="G55">
            <v>6993311.7577222222</v>
          </cell>
        </row>
        <row r="58">
          <cell r="D58">
            <v>42368</v>
          </cell>
          <cell r="E58" t="str">
            <v>Amount</v>
          </cell>
        </row>
        <row r="59">
          <cell r="C59" t="str">
            <v>Name</v>
          </cell>
          <cell r="E59" t="str">
            <v>=N=</v>
          </cell>
        </row>
        <row r="60">
          <cell r="F60" t="str">
            <v>Awaiting Approval from GEVC</v>
          </cell>
        </row>
        <row r="66">
          <cell r="D66" t="str">
            <v>GRAND TOTAL</v>
          </cell>
          <cell r="E66">
            <v>0</v>
          </cell>
        </row>
        <row r="72">
          <cell r="F72" t="e">
            <v>#REF!</v>
          </cell>
          <cell r="G72" t="str">
            <v>BANK SUMMARY</v>
          </cell>
        </row>
        <row r="73">
          <cell r="F73" t="e">
            <v>#REF!</v>
          </cell>
          <cell r="G73" t="str">
            <v>MASTER LIST</v>
          </cell>
        </row>
        <row r="74">
          <cell r="F74" t="e">
            <v>#REF!</v>
          </cell>
          <cell r="G74" t="str">
            <v>Liu &amp; Sanni</v>
          </cell>
        </row>
      </sheetData>
      <sheetData sheetId="4"/>
      <sheetData sheetId="5"/>
      <sheetData sheetId="6"/>
      <sheetData sheetId="7">
        <row r="1">
          <cell r="C1" t="str">
            <v>EURAFRIC OIL &amp; COASTAL SERVICES LTD</v>
          </cell>
        </row>
        <row r="3">
          <cell r="C3" t="str">
            <v xml:space="preserve">STAFF SALARIES SCHEDULE </v>
          </cell>
        </row>
        <row r="4">
          <cell r="C4" t="str">
            <v xml:space="preserve">APRIL, 2017 PAY ADVICE </v>
          </cell>
        </row>
        <row r="5">
          <cell r="C5" t="str">
            <v>SECURITY STAFF</v>
          </cell>
        </row>
        <row r="6">
          <cell r="C6" t="str">
            <v>STAFF NAME</v>
          </cell>
          <cell r="D6" t="str">
            <v>DESIGNATION</v>
          </cell>
          <cell r="E6" t="str">
            <v>BASIC</v>
          </cell>
          <cell r="F6" t="str">
            <v>HOUSING</v>
          </cell>
          <cell r="G6" t="str">
            <v>TRANSPORT</v>
          </cell>
          <cell r="H6" t="str">
            <v>MEDICAL</v>
          </cell>
          <cell r="I6" t="str">
            <v>MEAL</v>
          </cell>
          <cell r="J6" t="str">
            <v>CLOTHING</v>
          </cell>
          <cell r="K6" t="str">
            <v>EDUCATN</v>
          </cell>
          <cell r="L6" t="str">
            <v>FURNITURE</v>
          </cell>
          <cell r="M6" t="str">
            <v>ENTERTAIN</v>
          </cell>
          <cell r="N6" t="str">
            <v>UTILITY</v>
          </cell>
          <cell r="O6" t="str">
            <v>GROSS PAY</v>
          </cell>
          <cell r="P6" t="str">
            <v>LOAN REPMT</v>
          </cell>
          <cell r="Q6" t="str">
            <v>WELFARE</v>
          </cell>
          <cell r="R6" t="str">
            <v>PAYE</v>
          </cell>
          <cell r="S6" t="str">
            <v>UNIFORM</v>
          </cell>
          <cell r="T6" t="str">
            <v>LATE/ABSENT</v>
          </cell>
          <cell r="U6" t="str">
            <v>ADDITIONS</v>
          </cell>
          <cell r="V6" t="str">
            <v>PENSION</v>
          </cell>
          <cell r="W6" t="str">
            <v>ENDOWMENT</v>
          </cell>
          <cell r="X6" t="str">
            <v>TOTAL DED</v>
          </cell>
          <cell r="Y6" t="str">
            <v>NET PAY</v>
          </cell>
        </row>
        <row r="7">
          <cell r="C7" t="str">
            <v>IKHINE GODDY</v>
          </cell>
          <cell r="D7" t="str">
            <v>CSO</v>
          </cell>
          <cell r="E7">
            <v>22500</v>
          </cell>
          <cell r="F7">
            <v>22500</v>
          </cell>
          <cell r="G7">
            <v>22500</v>
          </cell>
          <cell r="H7">
            <v>15000</v>
          </cell>
          <cell r="I7">
            <v>15000</v>
          </cell>
          <cell r="J7">
            <v>15000</v>
          </cell>
          <cell r="K7">
            <v>15000</v>
          </cell>
          <cell r="L7">
            <v>7500</v>
          </cell>
          <cell r="M7">
            <v>7500</v>
          </cell>
          <cell r="N7">
            <v>7500</v>
          </cell>
          <cell r="O7">
            <v>150000</v>
          </cell>
          <cell r="Q7">
            <v>500</v>
          </cell>
          <cell r="R7">
            <v>11292.291666666666</v>
          </cell>
          <cell r="W7">
            <v>3750</v>
          </cell>
          <cell r="X7">
            <v>15542.291666666666</v>
          </cell>
          <cell r="Y7">
            <v>134457.70833333334</v>
          </cell>
        </row>
        <row r="8">
          <cell r="C8" t="str">
            <v>CHRISTIAN EZENWEREM</v>
          </cell>
          <cell r="D8" t="str">
            <v>SEC. GUARD II</v>
          </cell>
          <cell r="E8">
            <v>5250</v>
          </cell>
          <cell r="F8">
            <v>5250</v>
          </cell>
          <cell r="G8">
            <v>5250</v>
          </cell>
          <cell r="H8">
            <v>3500</v>
          </cell>
          <cell r="I8">
            <v>3500</v>
          </cell>
          <cell r="J8">
            <v>3500</v>
          </cell>
          <cell r="K8">
            <v>3500</v>
          </cell>
          <cell r="L8">
            <v>1750</v>
          </cell>
          <cell r="M8">
            <v>1750</v>
          </cell>
          <cell r="N8">
            <v>1750</v>
          </cell>
          <cell r="O8">
            <v>35000</v>
          </cell>
          <cell r="Q8">
            <v>200</v>
          </cell>
          <cell r="R8">
            <v>649.39583333333337</v>
          </cell>
          <cell r="V8">
            <v>1181.25</v>
          </cell>
          <cell r="W8">
            <v>875</v>
          </cell>
          <cell r="X8">
            <v>2905.6458333333335</v>
          </cell>
          <cell r="Y8">
            <v>32094.354166666668</v>
          </cell>
        </row>
        <row r="9">
          <cell r="C9" t="str">
            <v>SIMEON ALAGBA</v>
          </cell>
          <cell r="D9" t="str">
            <v>SEC. SUPERVISOR I</v>
          </cell>
          <cell r="E9">
            <v>5250</v>
          </cell>
          <cell r="F9">
            <v>5250</v>
          </cell>
          <cell r="G9">
            <v>5250</v>
          </cell>
          <cell r="H9">
            <v>3500</v>
          </cell>
          <cell r="I9">
            <v>3500</v>
          </cell>
          <cell r="J9">
            <v>3500</v>
          </cell>
          <cell r="K9">
            <v>3500</v>
          </cell>
          <cell r="L9">
            <v>1750</v>
          </cell>
          <cell r="M9">
            <v>1750</v>
          </cell>
          <cell r="N9">
            <v>1750</v>
          </cell>
          <cell r="O9">
            <v>35000</v>
          </cell>
          <cell r="Q9">
            <v>200</v>
          </cell>
          <cell r="R9">
            <v>649.39583333333337</v>
          </cell>
          <cell r="V9">
            <v>1181.25</v>
          </cell>
          <cell r="W9">
            <v>875</v>
          </cell>
          <cell r="X9">
            <v>2905.6458333333335</v>
          </cell>
          <cell r="Y9">
            <v>32094.354166666668</v>
          </cell>
        </row>
        <row r="10">
          <cell r="C10" t="str">
            <v>EMMANUEL OLUSEYI</v>
          </cell>
          <cell r="D10" t="str">
            <v>SEC. GUARD II</v>
          </cell>
          <cell r="E10">
            <v>5250</v>
          </cell>
          <cell r="F10">
            <v>5250</v>
          </cell>
          <cell r="G10">
            <v>5250</v>
          </cell>
          <cell r="H10">
            <v>3500</v>
          </cell>
          <cell r="I10">
            <v>3500</v>
          </cell>
          <cell r="J10">
            <v>3500</v>
          </cell>
          <cell r="K10">
            <v>3500</v>
          </cell>
          <cell r="L10">
            <v>1750</v>
          </cell>
          <cell r="M10">
            <v>1750</v>
          </cell>
          <cell r="N10">
            <v>1750</v>
          </cell>
          <cell r="O10">
            <v>35000</v>
          </cell>
          <cell r="Q10">
            <v>200</v>
          </cell>
          <cell r="R10">
            <v>649.39583333333337</v>
          </cell>
          <cell r="V10">
            <v>1181.25</v>
          </cell>
          <cell r="W10">
            <v>875</v>
          </cell>
          <cell r="X10">
            <v>2905.6458333333335</v>
          </cell>
          <cell r="Y10">
            <v>32094.354166666668</v>
          </cell>
        </row>
        <row r="11">
          <cell r="C11" t="str">
            <v>AZEEZ ADEOLA</v>
          </cell>
          <cell r="D11" t="str">
            <v>SEC. GUARD III</v>
          </cell>
          <cell r="E11">
            <v>5250</v>
          </cell>
          <cell r="F11">
            <v>5250</v>
          </cell>
          <cell r="G11">
            <v>5250</v>
          </cell>
          <cell r="H11">
            <v>3500</v>
          </cell>
          <cell r="I11">
            <v>3500</v>
          </cell>
          <cell r="J11">
            <v>3500</v>
          </cell>
          <cell r="K11">
            <v>3500</v>
          </cell>
          <cell r="L11">
            <v>1750</v>
          </cell>
          <cell r="M11">
            <v>1750</v>
          </cell>
          <cell r="N11">
            <v>1750</v>
          </cell>
          <cell r="O11">
            <v>35000</v>
          </cell>
          <cell r="Q11">
            <v>200</v>
          </cell>
          <cell r="R11">
            <v>649.39583333333337</v>
          </cell>
          <cell r="V11">
            <v>1181.25</v>
          </cell>
          <cell r="W11">
            <v>875</v>
          </cell>
          <cell r="X11">
            <v>2905.6458333333335</v>
          </cell>
          <cell r="Y11">
            <v>32094.354166666668</v>
          </cell>
        </row>
        <row r="12">
          <cell r="C12" t="str">
            <v>WAKA LAZARUS</v>
          </cell>
          <cell r="D12" t="str">
            <v>SEC. GUARD III</v>
          </cell>
          <cell r="E12">
            <v>5250</v>
          </cell>
          <cell r="F12">
            <v>5250</v>
          </cell>
          <cell r="G12">
            <v>5250</v>
          </cell>
          <cell r="H12">
            <v>3500</v>
          </cell>
          <cell r="I12">
            <v>3500</v>
          </cell>
          <cell r="J12">
            <v>3500</v>
          </cell>
          <cell r="K12">
            <v>3500</v>
          </cell>
          <cell r="L12">
            <v>1750</v>
          </cell>
          <cell r="M12">
            <v>1750</v>
          </cell>
          <cell r="N12">
            <v>1750</v>
          </cell>
          <cell r="O12">
            <v>35000</v>
          </cell>
          <cell r="Q12">
            <v>200</v>
          </cell>
          <cell r="R12">
            <v>649.39583333333337</v>
          </cell>
          <cell r="V12">
            <v>1181.25</v>
          </cell>
          <cell r="W12">
            <v>875</v>
          </cell>
          <cell r="X12">
            <v>2905.6458333333335</v>
          </cell>
          <cell r="Y12">
            <v>32094.354166666668</v>
          </cell>
        </row>
        <row r="13">
          <cell r="C13" t="str">
            <v>AMOS ZABE</v>
          </cell>
          <cell r="D13" t="str">
            <v>SEC. GUARD III</v>
          </cell>
          <cell r="E13">
            <v>5250</v>
          </cell>
          <cell r="F13">
            <v>5250</v>
          </cell>
          <cell r="G13">
            <v>5250</v>
          </cell>
          <cell r="H13">
            <v>3500</v>
          </cell>
          <cell r="I13">
            <v>3500</v>
          </cell>
          <cell r="J13">
            <v>3500</v>
          </cell>
          <cell r="K13">
            <v>3500</v>
          </cell>
          <cell r="L13">
            <v>1750</v>
          </cell>
          <cell r="M13">
            <v>1750</v>
          </cell>
          <cell r="N13">
            <v>1750</v>
          </cell>
          <cell r="O13">
            <v>35000</v>
          </cell>
          <cell r="Q13">
            <v>200</v>
          </cell>
          <cell r="R13">
            <v>649.39583333333337</v>
          </cell>
          <cell r="V13">
            <v>1181.25</v>
          </cell>
          <cell r="W13">
            <v>875</v>
          </cell>
          <cell r="X13">
            <v>2905.6458333333335</v>
          </cell>
          <cell r="Y13">
            <v>32094.354166666668</v>
          </cell>
        </row>
        <row r="14">
          <cell r="C14" t="str">
            <v>JONATHAN JOHN</v>
          </cell>
          <cell r="D14" t="str">
            <v>SEC. GUARD III</v>
          </cell>
          <cell r="E14">
            <v>5250</v>
          </cell>
          <cell r="F14">
            <v>5250</v>
          </cell>
          <cell r="G14">
            <v>5250</v>
          </cell>
          <cell r="H14">
            <v>3500</v>
          </cell>
          <cell r="I14">
            <v>3500</v>
          </cell>
          <cell r="J14">
            <v>3500</v>
          </cell>
          <cell r="K14">
            <v>3500</v>
          </cell>
          <cell r="L14">
            <v>1750</v>
          </cell>
          <cell r="M14">
            <v>1750</v>
          </cell>
          <cell r="N14">
            <v>1750</v>
          </cell>
          <cell r="O14">
            <v>35000</v>
          </cell>
          <cell r="Q14">
            <v>200</v>
          </cell>
          <cell r="R14">
            <v>649.39583333333337</v>
          </cell>
          <cell r="V14">
            <v>1181.25</v>
          </cell>
          <cell r="W14">
            <v>875</v>
          </cell>
          <cell r="X14">
            <v>2905.6458333333335</v>
          </cell>
          <cell r="Y14">
            <v>32094.354166666668</v>
          </cell>
        </row>
        <row r="15">
          <cell r="C15" t="str">
            <v>SANUSI BABATUNDE S.</v>
          </cell>
          <cell r="D15" t="str">
            <v>SEC. GUARD I</v>
          </cell>
          <cell r="E15">
            <v>5250</v>
          </cell>
          <cell r="F15">
            <v>5250</v>
          </cell>
          <cell r="G15">
            <v>5250</v>
          </cell>
          <cell r="H15">
            <v>3500</v>
          </cell>
          <cell r="I15">
            <v>3500</v>
          </cell>
          <cell r="J15">
            <v>3500</v>
          </cell>
          <cell r="K15">
            <v>3500</v>
          </cell>
          <cell r="L15">
            <v>1750</v>
          </cell>
          <cell r="M15">
            <v>1750</v>
          </cell>
          <cell r="N15">
            <v>1750</v>
          </cell>
          <cell r="O15">
            <v>35000</v>
          </cell>
          <cell r="Q15">
            <v>200</v>
          </cell>
          <cell r="R15">
            <v>649.39583333333337</v>
          </cell>
          <cell r="V15">
            <v>1181.25</v>
          </cell>
          <cell r="W15">
            <v>875</v>
          </cell>
          <cell r="X15">
            <v>2905.6458333333335</v>
          </cell>
          <cell r="Y15">
            <v>32094.354166666668</v>
          </cell>
        </row>
        <row r="16">
          <cell r="C16" t="str">
            <v>NWOKE OBASI</v>
          </cell>
          <cell r="D16" t="str">
            <v>SEC. GUARD I</v>
          </cell>
          <cell r="E16">
            <v>5250</v>
          </cell>
          <cell r="F16">
            <v>5250</v>
          </cell>
          <cell r="G16">
            <v>5250</v>
          </cell>
          <cell r="H16">
            <v>3500</v>
          </cell>
          <cell r="I16">
            <v>3500</v>
          </cell>
          <cell r="J16">
            <v>3500</v>
          </cell>
          <cell r="K16">
            <v>3500</v>
          </cell>
          <cell r="L16">
            <v>1750</v>
          </cell>
          <cell r="M16">
            <v>1750</v>
          </cell>
          <cell r="N16">
            <v>1750</v>
          </cell>
          <cell r="O16">
            <v>35000</v>
          </cell>
          <cell r="Q16">
            <v>200</v>
          </cell>
          <cell r="R16">
            <v>649.39583333333337</v>
          </cell>
          <cell r="V16">
            <v>1181.25</v>
          </cell>
          <cell r="W16">
            <v>875</v>
          </cell>
          <cell r="X16">
            <v>2905.6458333333335</v>
          </cell>
          <cell r="Y16">
            <v>32094.354166666668</v>
          </cell>
        </row>
        <row r="17">
          <cell r="C17" t="str">
            <v>BOLAJI LANRE OLAMIDE</v>
          </cell>
          <cell r="D17" t="str">
            <v>SEC. GUARD I</v>
          </cell>
          <cell r="E17">
            <v>5250</v>
          </cell>
          <cell r="F17">
            <v>5250</v>
          </cell>
          <cell r="G17">
            <v>5250</v>
          </cell>
          <cell r="H17">
            <v>3500</v>
          </cell>
          <cell r="I17">
            <v>3500</v>
          </cell>
          <cell r="J17">
            <v>3500</v>
          </cell>
          <cell r="K17">
            <v>3500</v>
          </cell>
          <cell r="L17">
            <v>1750</v>
          </cell>
          <cell r="M17">
            <v>1750</v>
          </cell>
          <cell r="N17">
            <v>1750</v>
          </cell>
          <cell r="O17">
            <v>35000</v>
          </cell>
          <cell r="Q17">
            <v>200</v>
          </cell>
          <cell r="R17">
            <v>649.39583333333337</v>
          </cell>
          <cell r="V17">
            <v>1181.25</v>
          </cell>
          <cell r="W17">
            <v>875</v>
          </cell>
          <cell r="X17">
            <v>2905.6458333333335</v>
          </cell>
          <cell r="Y17">
            <v>32094.354166666668</v>
          </cell>
        </row>
        <row r="18">
          <cell r="C18" t="str">
            <v>AKHABUE BRIGHT</v>
          </cell>
          <cell r="D18" t="str">
            <v>SEC. GUARD I</v>
          </cell>
          <cell r="E18">
            <v>4500</v>
          </cell>
          <cell r="F18">
            <v>4500</v>
          </cell>
          <cell r="G18">
            <v>4500</v>
          </cell>
          <cell r="H18">
            <v>3000</v>
          </cell>
          <cell r="I18">
            <v>3000</v>
          </cell>
          <cell r="J18">
            <v>3000</v>
          </cell>
          <cell r="K18">
            <v>3000</v>
          </cell>
          <cell r="L18">
            <v>1500</v>
          </cell>
          <cell r="M18">
            <v>1500</v>
          </cell>
          <cell r="N18">
            <v>1500</v>
          </cell>
          <cell r="O18">
            <v>30000</v>
          </cell>
          <cell r="Q18">
            <v>200</v>
          </cell>
          <cell r="R18">
            <v>389.95833333333331</v>
          </cell>
          <cell r="V18">
            <v>1012.5</v>
          </cell>
          <cell r="W18">
            <v>750</v>
          </cell>
          <cell r="X18">
            <v>2352.458333333333</v>
          </cell>
          <cell r="Y18">
            <v>27647.541666666668</v>
          </cell>
        </row>
        <row r="19">
          <cell r="C19" t="str">
            <v>BELLO FALILU</v>
          </cell>
          <cell r="D19" t="str">
            <v>SEC. GUARD I</v>
          </cell>
          <cell r="E19">
            <v>4500</v>
          </cell>
          <cell r="F19">
            <v>4500</v>
          </cell>
          <cell r="G19">
            <v>4500</v>
          </cell>
          <cell r="H19">
            <v>3000</v>
          </cell>
          <cell r="I19">
            <v>3000</v>
          </cell>
          <cell r="J19">
            <v>3000</v>
          </cell>
          <cell r="K19">
            <v>3000</v>
          </cell>
          <cell r="L19">
            <v>1500</v>
          </cell>
          <cell r="M19">
            <v>1500</v>
          </cell>
          <cell r="N19">
            <v>1500</v>
          </cell>
          <cell r="O19">
            <v>30000</v>
          </cell>
          <cell r="Q19">
            <v>200</v>
          </cell>
          <cell r="R19">
            <v>389.95833333333331</v>
          </cell>
          <cell r="V19">
            <v>1012.5</v>
          </cell>
          <cell r="W19">
            <v>750</v>
          </cell>
          <cell r="X19">
            <v>2352.458333333333</v>
          </cell>
          <cell r="Y19">
            <v>27647.541666666668</v>
          </cell>
        </row>
        <row r="20">
          <cell r="C20" t="str">
            <v>INYANG SUNDAY JAMES</v>
          </cell>
          <cell r="D20" t="str">
            <v>SEC. GUARD I</v>
          </cell>
          <cell r="E20">
            <v>4500</v>
          </cell>
          <cell r="F20">
            <v>4500</v>
          </cell>
          <cell r="G20">
            <v>4500</v>
          </cell>
          <cell r="H20">
            <v>3000</v>
          </cell>
          <cell r="I20">
            <v>3000</v>
          </cell>
          <cell r="J20">
            <v>3000</v>
          </cell>
          <cell r="K20">
            <v>3000</v>
          </cell>
          <cell r="L20">
            <v>1500</v>
          </cell>
          <cell r="M20">
            <v>1500</v>
          </cell>
          <cell r="N20">
            <v>1500</v>
          </cell>
          <cell r="O20">
            <v>30000</v>
          </cell>
          <cell r="Q20">
            <v>200</v>
          </cell>
          <cell r="R20">
            <v>389.95833333333331</v>
          </cell>
          <cell r="V20">
            <v>1012.5</v>
          </cell>
          <cell r="W20">
            <v>750</v>
          </cell>
          <cell r="X20">
            <v>2352.458333333333</v>
          </cell>
          <cell r="Y20">
            <v>27647.541666666668</v>
          </cell>
        </row>
        <row r="21">
          <cell r="C21" t="str">
            <v>IPADEOLA JOHNSON OLANIYI</v>
          </cell>
          <cell r="D21" t="str">
            <v>SEC. GUARD I</v>
          </cell>
          <cell r="E21">
            <v>4500</v>
          </cell>
          <cell r="F21">
            <v>4500</v>
          </cell>
          <cell r="G21">
            <v>4500</v>
          </cell>
          <cell r="H21">
            <v>3000</v>
          </cell>
          <cell r="I21">
            <v>3000</v>
          </cell>
          <cell r="J21">
            <v>3000</v>
          </cell>
          <cell r="K21">
            <v>3000</v>
          </cell>
          <cell r="L21">
            <v>1500</v>
          </cell>
          <cell r="M21">
            <v>1500</v>
          </cell>
          <cell r="N21">
            <v>1500</v>
          </cell>
          <cell r="O21">
            <v>30000</v>
          </cell>
          <cell r="Q21">
            <v>200</v>
          </cell>
          <cell r="R21">
            <v>389.95833333333331</v>
          </cell>
          <cell r="V21">
            <v>1012.5</v>
          </cell>
          <cell r="W21">
            <v>750</v>
          </cell>
          <cell r="X21">
            <v>2352.458333333333</v>
          </cell>
          <cell r="Y21">
            <v>27647.541666666668</v>
          </cell>
        </row>
        <row r="22">
          <cell r="C22" t="str">
            <v>PETER EMEKA I</v>
          </cell>
          <cell r="D22" t="str">
            <v>SEC. GUARD I</v>
          </cell>
          <cell r="E22">
            <v>4500</v>
          </cell>
          <cell r="F22">
            <v>4500</v>
          </cell>
          <cell r="G22">
            <v>4500</v>
          </cell>
          <cell r="H22">
            <v>3000</v>
          </cell>
          <cell r="I22">
            <v>3000</v>
          </cell>
          <cell r="J22">
            <v>3000</v>
          </cell>
          <cell r="K22">
            <v>3000</v>
          </cell>
          <cell r="L22">
            <v>1500</v>
          </cell>
          <cell r="M22">
            <v>1500</v>
          </cell>
          <cell r="N22">
            <v>1500</v>
          </cell>
          <cell r="O22">
            <v>30000</v>
          </cell>
          <cell r="Q22">
            <v>200</v>
          </cell>
          <cell r="R22">
            <v>389.95833333333331</v>
          </cell>
          <cell r="S22">
            <v>1000</v>
          </cell>
          <cell r="T22">
            <v>10000</v>
          </cell>
          <cell r="V22">
            <v>1012.5</v>
          </cell>
          <cell r="W22">
            <v>750</v>
          </cell>
          <cell r="X22">
            <v>13352.458333333334</v>
          </cell>
          <cell r="Y22">
            <v>16647.541666666664</v>
          </cell>
        </row>
        <row r="23">
          <cell r="C23" t="str">
            <v>OJEIFO STANLEY</v>
          </cell>
          <cell r="D23" t="str">
            <v>SEC. GUARD I</v>
          </cell>
          <cell r="E23">
            <v>4500</v>
          </cell>
          <cell r="F23">
            <v>4500</v>
          </cell>
          <cell r="G23">
            <v>4500</v>
          </cell>
          <cell r="H23">
            <v>3000</v>
          </cell>
          <cell r="I23">
            <v>3000</v>
          </cell>
          <cell r="J23">
            <v>3000</v>
          </cell>
          <cell r="K23">
            <v>3000</v>
          </cell>
          <cell r="L23">
            <v>1500</v>
          </cell>
          <cell r="M23">
            <v>1500</v>
          </cell>
          <cell r="N23">
            <v>1500</v>
          </cell>
          <cell r="O23">
            <v>30000</v>
          </cell>
          <cell r="Q23">
            <v>200</v>
          </cell>
          <cell r="R23">
            <v>389.95833333333331</v>
          </cell>
          <cell r="S23">
            <v>1000</v>
          </cell>
          <cell r="V23">
            <v>1012.5</v>
          </cell>
          <cell r="W23">
            <v>750</v>
          </cell>
          <cell r="X23">
            <v>3352.458333333333</v>
          </cell>
          <cell r="Y23">
            <v>26647.541666666668</v>
          </cell>
        </row>
        <row r="24">
          <cell r="C24" t="str">
            <v>SUNDAY OKOH</v>
          </cell>
          <cell r="D24" t="str">
            <v>SEC. GUARD I</v>
          </cell>
          <cell r="E24">
            <v>4500</v>
          </cell>
          <cell r="F24">
            <v>4500</v>
          </cell>
          <cell r="G24">
            <v>4500</v>
          </cell>
          <cell r="H24">
            <v>3000</v>
          </cell>
          <cell r="I24">
            <v>3000</v>
          </cell>
          <cell r="J24">
            <v>3000</v>
          </cell>
          <cell r="K24">
            <v>3000</v>
          </cell>
          <cell r="L24">
            <v>1500</v>
          </cell>
          <cell r="M24">
            <v>1500</v>
          </cell>
          <cell r="N24">
            <v>1500</v>
          </cell>
          <cell r="O24">
            <v>30000</v>
          </cell>
          <cell r="Q24">
            <v>200</v>
          </cell>
          <cell r="R24">
            <v>389.95833333333331</v>
          </cell>
          <cell r="S24">
            <v>1000</v>
          </cell>
          <cell r="V24">
            <v>1012.5</v>
          </cell>
          <cell r="W24">
            <v>750</v>
          </cell>
          <cell r="X24">
            <v>3352.458333333333</v>
          </cell>
          <cell r="Y24">
            <v>26647.541666666668</v>
          </cell>
        </row>
        <row r="25">
          <cell r="C25" t="str">
            <v>OCHE EMMANUEL OKPE</v>
          </cell>
          <cell r="D25" t="str">
            <v>SEC. GUARD I</v>
          </cell>
          <cell r="E25">
            <v>4500</v>
          </cell>
          <cell r="F25">
            <v>4500</v>
          </cell>
          <cell r="G25">
            <v>4500</v>
          </cell>
          <cell r="H25">
            <v>3000</v>
          </cell>
          <cell r="I25">
            <v>3000</v>
          </cell>
          <cell r="J25">
            <v>3000</v>
          </cell>
          <cell r="K25">
            <v>3000</v>
          </cell>
          <cell r="L25">
            <v>1500</v>
          </cell>
          <cell r="M25">
            <v>1500</v>
          </cell>
          <cell r="N25">
            <v>1500</v>
          </cell>
          <cell r="O25">
            <v>30000</v>
          </cell>
          <cell r="Q25">
            <v>200</v>
          </cell>
          <cell r="R25">
            <v>389.95833333333331</v>
          </cell>
          <cell r="S25">
            <v>1000</v>
          </cell>
          <cell r="V25">
            <v>1012.5</v>
          </cell>
          <cell r="W25">
            <v>750</v>
          </cell>
          <cell r="X25">
            <v>3352.458333333333</v>
          </cell>
          <cell r="Y25">
            <v>26647.541666666668</v>
          </cell>
        </row>
        <row r="26">
          <cell r="C26" t="str">
            <v xml:space="preserve">Jacob Rotimi ADENIYI </v>
          </cell>
          <cell r="D26" t="str">
            <v>SEC. GUARD I</v>
          </cell>
          <cell r="E26">
            <v>4500</v>
          </cell>
          <cell r="F26">
            <v>4500</v>
          </cell>
          <cell r="G26">
            <v>4500</v>
          </cell>
          <cell r="H26">
            <v>3000</v>
          </cell>
          <cell r="I26">
            <v>3000</v>
          </cell>
          <cell r="J26">
            <v>3000</v>
          </cell>
          <cell r="K26">
            <v>3000</v>
          </cell>
          <cell r="L26">
            <v>1500</v>
          </cell>
          <cell r="M26">
            <v>1500</v>
          </cell>
          <cell r="N26">
            <v>1500</v>
          </cell>
          <cell r="O26">
            <v>30000</v>
          </cell>
          <cell r="Q26">
            <v>200</v>
          </cell>
          <cell r="R26">
            <v>389.95833333333331</v>
          </cell>
          <cell r="S26">
            <v>1000</v>
          </cell>
          <cell r="V26">
            <v>1012.5</v>
          </cell>
          <cell r="W26">
            <v>750</v>
          </cell>
          <cell r="X26">
            <v>3352.458333333333</v>
          </cell>
          <cell r="Y26">
            <v>26647.541666666668</v>
          </cell>
        </row>
        <row r="27">
          <cell r="C27" t="str">
            <v xml:space="preserve">Mohammed SHAIBU </v>
          </cell>
          <cell r="D27" t="str">
            <v>SEC. GUARD I</v>
          </cell>
          <cell r="E27">
            <v>4500</v>
          </cell>
          <cell r="F27">
            <v>4500</v>
          </cell>
          <cell r="G27">
            <v>4500</v>
          </cell>
          <cell r="H27">
            <v>3000</v>
          </cell>
          <cell r="I27">
            <v>3000</v>
          </cell>
          <cell r="J27">
            <v>3000</v>
          </cell>
          <cell r="K27">
            <v>3000</v>
          </cell>
          <cell r="L27">
            <v>1500</v>
          </cell>
          <cell r="M27">
            <v>1500</v>
          </cell>
          <cell r="N27">
            <v>1500</v>
          </cell>
          <cell r="O27">
            <v>30000</v>
          </cell>
          <cell r="Q27">
            <v>200</v>
          </cell>
          <cell r="R27">
            <v>389.95833333333331</v>
          </cell>
          <cell r="S27">
            <v>1000</v>
          </cell>
          <cell r="V27">
            <v>1012.5</v>
          </cell>
          <cell r="W27">
            <v>750</v>
          </cell>
          <cell r="X27">
            <v>3352.458333333333</v>
          </cell>
          <cell r="Y27">
            <v>26647.541666666668</v>
          </cell>
        </row>
        <row r="29">
          <cell r="C29" t="str">
            <v>Total</v>
          </cell>
          <cell r="E29">
            <v>120000</v>
          </cell>
          <cell r="F29">
            <v>120000</v>
          </cell>
          <cell r="G29">
            <v>120000</v>
          </cell>
          <cell r="H29">
            <v>80000</v>
          </cell>
          <cell r="I29">
            <v>80000</v>
          </cell>
          <cell r="J29">
            <v>80000</v>
          </cell>
          <cell r="K29">
            <v>80000</v>
          </cell>
          <cell r="L29">
            <v>40000</v>
          </cell>
          <cell r="M29">
            <v>40000</v>
          </cell>
          <cell r="N29">
            <v>40000</v>
          </cell>
          <cell r="O29">
            <v>800000</v>
          </cell>
          <cell r="P29">
            <v>0</v>
          </cell>
          <cell r="Q29">
            <v>4500</v>
          </cell>
          <cell r="R29">
            <v>21685.833333333321</v>
          </cell>
          <cell r="S29">
            <v>6000</v>
          </cell>
          <cell r="T29">
            <v>10000</v>
          </cell>
          <cell r="U29">
            <v>0</v>
          </cell>
          <cell r="V29">
            <v>21937.5</v>
          </cell>
          <cell r="W29">
            <v>20000</v>
          </cell>
          <cell r="X29">
            <v>84123.333333333328</v>
          </cell>
          <cell r="Y29">
            <v>715876.66666666651</v>
          </cell>
        </row>
        <row r="35">
          <cell r="C35" t="str">
            <v>PREPARED BY:............................................................</v>
          </cell>
          <cell r="F35" t="str">
            <v>CHECKED BY:...................................................</v>
          </cell>
          <cell r="K35" t="str">
            <v>AUTHOURISED BY:............................................................</v>
          </cell>
          <cell r="R35" t="str">
            <v>APPROVED BY:............................................................</v>
          </cell>
        </row>
        <row r="36">
          <cell r="N36" t="str">
            <v xml:space="preserve"> </v>
          </cell>
        </row>
        <row r="37">
          <cell r="C37" t="str">
            <v xml:space="preserve">STAFF SALARIES SCHEDULE </v>
          </cell>
        </row>
        <row r="38">
          <cell r="C38" t="str">
            <v xml:space="preserve">APRIL, 2017 PAY ADVICE </v>
          </cell>
        </row>
        <row r="39">
          <cell r="C39" t="str">
            <v>DEPOT STAFF</v>
          </cell>
        </row>
        <row r="40">
          <cell r="C40" t="str">
            <v>STAFF NAME</v>
          </cell>
          <cell r="D40" t="str">
            <v>DESIGNATION</v>
          </cell>
          <cell r="E40" t="str">
            <v>BASIC</v>
          </cell>
          <cell r="F40" t="str">
            <v>HOUSING</v>
          </cell>
          <cell r="G40" t="str">
            <v>TRANSPORT</v>
          </cell>
          <cell r="H40" t="str">
            <v>MEDICAL</v>
          </cell>
          <cell r="I40" t="str">
            <v>MEAL</v>
          </cell>
          <cell r="J40" t="str">
            <v>CLOTHING</v>
          </cell>
          <cell r="K40" t="str">
            <v>EDUCATN</v>
          </cell>
          <cell r="L40" t="str">
            <v>FURNITURE</v>
          </cell>
          <cell r="M40" t="str">
            <v>ENTERTAIN</v>
          </cell>
          <cell r="N40" t="str">
            <v>UTILITY</v>
          </cell>
          <cell r="O40" t="str">
            <v>GROSS PAY</v>
          </cell>
          <cell r="P40" t="str">
            <v>LOAN REPMT</v>
          </cell>
          <cell r="Q40" t="str">
            <v>WELFARE/</v>
          </cell>
          <cell r="R40" t="str">
            <v>PAYE</v>
          </cell>
          <cell r="S40" t="str">
            <v>UNIFORM</v>
          </cell>
          <cell r="T40" t="str">
            <v>LATE/ABSENT</v>
          </cell>
          <cell r="U40" t="str">
            <v>ADDITIONS</v>
          </cell>
          <cell r="V40" t="str">
            <v>PENSION</v>
          </cell>
          <cell r="W40" t="str">
            <v>ENDOWMENT</v>
          </cell>
          <cell r="X40" t="str">
            <v>TOTAL DED</v>
          </cell>
          <cell r="Y40" t="str">
            <v>NET PAY</v>
          </cell>
        </row>
        <row r="41">
          <cell r="C41" t="str">
            <v>PHILLIP  LEBO</v>
          </cell>
          <cell r="D41" t="str">
            <v>T/O III</v>
          </cell>
          <cell r="E41">
            <v>18000</v>
          </cell>
          <cell r="F41">
            <v>18000</v>
          </cell>
          <cell r="G41">
            <v>18000</v>
          </cell>
          <cell r="H41">
            <v>12000</v>
          </cell>
          <cell r="I41">
            <v>12000</v>
          </cell>
          <cell r="J41">
            <v>12000</v>
          </cell>
          <cell r="K41">
            <v>12000</v>
          </cell>
          <cell r="L41">
            <v>6000</v>
          </cell>
          <cell r="M41">
            <v>6000</v>
          </cell>
          <cell r="N41">
            <v>6000</v>
          </cell>
          <cell r="O41">
            <v>120000</v>
          </cell>
          <cell r="Q41">
            <v>500</v>
          </cell>
          <cell r="R41">
            <v>7842.5</v>
          </cell>
          <cell r="V41">
            <v>4050</v>
          </cell>
          <cell r="W41">
            <v>3000</v>
          </cell>
          <cell r="X41">
            <v>15392.5</v>
          </cell>
          <cell r="Y41">
            <v>104607.5</v>
          </cell>
        </row>
        <row r="42">
          <cell r="C42" t="str">
            <v>KAYODE ODUGBEMI</v>
          </cell>
          <cell r="D42" t="str">
            <v>ENGINEER</v>
          </cell>
          <cell r="E42">
            <v>10500</v>
          </cell>
          <cell r="F42">
            <v>10500</v>
          </cell>
          <cell r="G42">
            <v>10500</v>
          </cell>
          <cell r="H42">
            <v>7000</v>
          </cell>
          <cell r="I42">
            <v>7000</v>
          </cell>
          <cell r="J42">
            <v>7000</v>
          </cell>
          <cell r="K42">
            <v>7000</v>
          </cell>
          <cell r="L42">
            <v>3500</v>
          </cell>
          <cell r="M42">
            <v>3500</v>
          </cell>
          <cell r="N42">
            <v>3500</v>
          </cell>
          <cell r="O42">
            <v>70000</v>
          </cell>
          <cell r="Q42">
            <v>200</v>
          </cell>
          <cell r="R42">
            <v>2874.2916666666665</v>
          </cell>
          <cell r="V42">
            <v>2362.5</v>
          </cell>
          <cell r="W42">
            <v>1750</v>
          </cell>
          <cell r="X42">
            <v>7186.7916666666661</v>
          </cell>
          <cell r="Y42">
            <v>62813.208333333336</v>
          </cell>
        </row>
        <row r="43">
          <cell r="C43" t="str">
            <v>ETIM EMMANUEL</v>
          </cell>
          <cell r="D43" t="str">
            <v>ULLAGER II</v>
          </cell>
          <cell r="E43">
            <v>11250</v>
          </cell>
          <cell r="F43">
            <v>11250</v>
          </cell>
          <cell r="G43">
            <v>11250</v>
          </cell>
          <cell r="H43">
            <v>7500</v>
          </cell>
          <cell r="I43">
            <v>7500</v>
          </cell>
          <cell r="J43">
            <v>7500</v>
          </cell>
          <cell r="K43">
            <v>7500</v>
          </cell>
          <cell r="L43">
            <v>3750</v>
          </cell>
          <cell r="M43">
            <v>3750</v>
          </cell>
          <cell r="N43">
            <v>3750</v>
          </cell>
          <cell r="O43">
            <v>75000</v>
          </cell>
          <cell r="Q43">
            <v>200</v>
          </cell>
          <cell r="R43">
            <v>3281.9791666666665</v>
          </cell>
          <cell r="U43">
            <v>20000</v>
          </cell>
          <cell r="V43">
            <v>2531.25</v>
          </cell>
          <cell r="W43">
            <v>1875</v>
          </cell>
          <cell r="X43">
            <v>7888.2291666666661</v>
          </cell>
          <cell r="Y43">
            <v>87111.770833333328</v>
          </cell>
        </row>
        <row r="44">
          <cell r="C44" t="str">
            <v>DORIS AKORO</v>
          </cell>
          <cell r="D44" t="str">
            <v>DEPOT MARKETING OFFICER II</v>
          </cell>
          <cell r="E44">
            <v>9000</v>
          </cell>
          <cell r="F44">
            <v>9000</v>
          </cell>
          <cell r="G44">
            <v>9000</v>
          </cell>
          <cell r="H44">
            <v>6000</v>
          </cell>
          <cell r="I44">
            <v>6000</v>
          </cell>
          <cell r="J44">
            <v>6000</v>
          </cell>
          <cell r="K44">
            <v>6000</v>
          </cell>
          <cell r="L44">
            <v>3000</v>
          </cell>
          <cell r="M44">
            <v>3000</v>
          </cell>
          <cell r="N44">
            <v>3000</v>
          </cell>
          <cell r="O44">
            <v>60000</v>
          </cell>
          <cell r="Q44">
            <v>200</v>
          </cell>
          <cell r="R44">
            <v>2058.9166666666665</v>
          </cell>
          <cell r="V44">
            <v>2025</v>
          </cell>
          <cell r="W44">
            <v>1500</v>
          </cell>
          <cell r="X44">
            <v>5783.9166666666661</v>
          </cell>
          <cell r="Y44">
            <v>54216.083333333336</v>
          </cell>
        </row>
        <row r="45">
          <cell r="C45" t="str">
            <v>KALU EJITURU</v>
          </cell>
          <cell r="D45" t="str">
            <v>DEPOT LOADER III</v>
          </cell>
          <cell r="E45">
            <v>6180</v>
          </cell>
          <cell r="F45">
            <v>6180</v>
          </cell>
          <cell r="G45">
            <v>6180</v>
          </cell>
          <cell r="H45">
            <v>4120</v>
          </cell>
          <cell r="I45">
            <v>4120</v>
          </cell>
          <cell r="J45">
            <v>4120</v>
          </cell>
          <cell r="K45">
            <v>4120</v>
          </cell>
          <cell r="L45">
            <v>2060</v>
          </cell>
          <cell r="M45">
            <v>2060</v>
          </cell>
          <cell r="N45">
            <v>2060</v>
          </cell>
          <cell r="O45">
            <v>41200</v>
          </cell>
          <cell r="Q45">
            <v>200</v>
          </cell>
          <cell r="R45">
            <v>971.09833333333336</v>
          </cell>
          <cell r="V45">
            <v>1390.5</v>
          </cell>
          <cell r="W45">
            <v>1030</v>
          </cell>
          <cell r="X45">
            <v>3591.5983333333334</v>
          </cell>
          <cell r="Y45">
            <v>37608.401666666665</v>
          </cell>
        </row>
        <row r="46">
          <cell r="C46" t="str">
            <v>OKELEKE FRANCIS C.</v>
          </cell>
          <cell r="D46" t="str">
            <v>DEPOT LOADER II</v>
          </cell>
          <cell r="E46">
            <v>3862.5</v>
          </cell>
          <cell r="F46">
            <v>3862.5</v>
          </cell>
          <cell r="G46">
            <v>3862.5</v>
          </cell>
          <cell r="H46">
            <v>2575</v>
          </cell>
          <cell r="I46">
            <v>2575</v>
          </cell>
          <cell r="J46">
            <v>2575</v>
          </cell>
          <cell r="K46">
            <v>2575</v>
          </cell>
          <cell r="L46">
            <v>1287.5</v>
          </cell>
          <cell r="M46">
            <v>1287.5</v>
          </cell>
          <cell r="N46">
            <v>1287.5</v>
          </cell>
          <cell r="O46">
            <v>25750</v>
          </cell>
          <cell r="Q46">
            <v>200</v>
          </cell>
          <cell r="R46">
            <v>257.5</v>
          </cell>
          <cell r="V46">
            <v>869.0625</v>
          </cell>
          <cell r="W46">
            <v>643.75</v>
          </cell>
          <cell r="X46">
            <v>1970.3125</v>
          </cell>
          <cell r="Y46">
            <v>23779.6875</v>
          </cell>
        </row>
        <row r="47">
          <cell r="C47" t="str">
            <v>ONYEKA N. MOSES</v>
          </cell>
          <cell r="D47" t="str">
            <v>DEPOT ASSISTANT I</v>
          </cell>
          <cell r="E47">
            <v>3090</v>
          </cell>
          <cell r="F47">
            <v>3090</v>
          </cell>
          <cell r="G47">
            <v>3090</v>
          </cell>
          <cell r="H47">
            <v>2060</v>
          </cell>
          <cell r="I47">
            <v>2060</v>
          </cell>
          <cell r="J47">
            <v>2060</v>
          </cell>
          <cell r="K47">
            <v>2060</v>
          </cell>
          <cell r="L47">
            <v>1030</v>
          </cell>
          <cell r="M47">
            <v>1030</v>
          </cell>
          <cell r="N47">
            <v>1030</v>
          </cell>
          <cell r="O47">
            <v>20600</v>
          </cell>
          <cell r="Q47">
            <v>100</v>
          </cell>
          <cell r="R47">
            <v>206</v>
          </cell>
          <cell r="V47">
            <v>695.25</v>
          </cell>
          <cell r="W47">
            <v>515</v>
          </cell>
          <cell r="X47">
            <v>1516.25</v>
          </cell>
          <cell r="Y47">
            <v>19083.75</v>
          </cell>
        </row>
        <row r="48">
          <cell r="C48" t="str">
            <v>CHUKWUDI C. FRANCIS</v>
          </cell>
          <cell r="D48" t="str">
            <v>DEPOT ASSISTANT II</v>
          </cell>
          <cell r="E48">
            <v>3862.5</v>
          </cell>
          <cell r="F48">
            <v>3862.5</v>
          </cell>
          <cell r="G48">
            <v>3862.5</v>
          </cell>
          <cell r="H48">
            <v>2575</v>
          </cell>
          <cell r="I48">
            <v>2575</v>
          </cell>
          <cell r="J48">
            <v>2575</v>
          </cell>
          <cell r="K48">
            <v>2575</v>
          </cell>
          <cell r="L48">
            <v>1287.5</v>
          </cell>
          <cell r="M48">
            <v>1287.5</v>
          </cell>
          <cell r="N48">
            <v>1287.5</v>
          </cell>
          <cell r="O48">
            <v>25750</v>
          </cell>
          <cell r="Q48">
            <v>200</v>
          </cell>
          <cell r="R48">
            <v>257.5</v>
          </cell>
          <cell r="V48">
            <v>869.0625</v>
          </cell>
          <cell r="W48">
            <v>643.75</v>
          </cell>
          <cell r="X48">
            <v>1970.3125</v>
          </cell>
          <cell r="Y48">
            <v>23779.6875</v>
          </cell>
        </row>
        <row r="49">
          <cell r="C49" t="str">
            <v>PATRICK OKOLIE</v>
          </cell>
          <cell r="D49" t="str">
            <v>DEPOT ASSISTANT II</v>
          </cell>
          <cell r="E49">
            <v>3750</v>
          </cell>
          <cell r="F49">
            <v>3750</v>
          </cell>
          <cell r="G49">
            <v>3750</v>
          </cell>
          <cell r="H49">
            <v>2500</v>
          </cell>
          <cell r="I49">
            <v>2500</v>
          </cell>
          <cell r="J49">
            <v>2500</v>
          </cell>
          <cell r="K49">
            <v>2500</v>
          </cell>
          <cell r="L49">
            <v>1250</v>
          </cell>
          <cell r="M49">
            <v>1250</v>
          </cell>
          <cell r="N49">
            <v>1250</v>
          </cell>
          <cell r="O49">
            <v>25000</v>
          </cell>
          <cell r="Q49">
            <v>200</v>
          </cell>
          <cell r="R49">
            <v>250</v>
          </cell>
          <cell r="V49">
            <v>843.75</v>
          </cell>
          <cell r="W49">
            <v>625</v>
          </cell>
          <cell r="X49">
            <v>1918.75</v>
          </cell>
          <cell r="Y49">
            <v>23081.25</v>
          </cell>
        </row>
        <row r="50">
          <cell r="C50" t="str">
            <v xml:space="preserve">OLAMOYEGUN EZEKIEL </v>
          </cell>
          <cell r="D50" t="str">
            <v>DEPOT ASSISTANT II</v>
          </cell>
          <cell r="E50">
            <v>3750</v>
          </cell>
          <cell r="F50">
            <v>3750</v>
          </cell>
          <cell r="G50">
            <v>3750</v>
          </cell>
          <cell r="H50">
            <v>2500</v>
          </cell>
          <cell r="I50">
            <v>2500</v>
          </cell>
          <cell r="J50">
            <v>2500</v>
          </cell>
          <cell r="K50">
            <v>2500</v>
          </cell>
          <cell r="L50">
            <v>1250</v>
          </cell>
          <cell r="M50">
            <v>1250</v>
          </cell>
          <cell r="N50">
            <v>1250</v>
          </cell>
          <cell r="O50">
            <v>25000</v>
          </cell>
          <cell r="Q50">
            <v>200</v>
          </cell>
          <cell r="R50">
            <v>250</v>
          </cell>
          <cell r="V50">
            <v>843.75</v>
          </cell>
          <cell r="W50">
            <v>625</v>
          </cell>
          <cell r="X50">
            <v>1918.75</v>
          </cell>
          <cell r="Y50">
            <v>23081.25</v>
          </cell>
        </row>
        <row r="51">
          <cell r="C51" t="str">
            <v>OLUGBEJE BENSON OYEBANJI</v>
          </cell>
          <cell r="D51" t="str">
            <v>DEPOT CLEANER</v>
          </cell>
          <cell r="E51">
            <v>3000</v>
          </cell>
          <cell r="F51">
            <v>3000</v>
          </cell>
          <cell r="G51">
            <v>3000</v>
          </cell>
          <cell r="H51">
            <v>2000</v>
          </cell>
          <cell r="I51">
            <v>2000</v>
          </cell>
          <cell r="J51">
            <v>2000</v>
          </cell>
          <cell r="K51">
            <v>2000</v>
          </cell>
          <cell r="L51">
            <v>1000</v>
          </cell>
          <cell r="M51">
            <v>1000</v>
          </cell>
          <cell r="N51">
            <v>1000</v>
          </cell>
          <cell r="O51">
            <v>20000</v>
          </cell>
          <cell r="V51">
            <v>0</v>
          </cell>
          <cell r="W51">
            <v>0</v>
          </cell>
          <cell r="X51">
            <v>0</v>
          </cell>
          <cell r="Y51">
            <v>20000</v>
          </cell>
        </row>
        <row r="53">
          <cell r="C53" t="str">
            <v>Total</v>
          </cell>
          <cell r="E53">
            <v>76245</v>
          </cell>
          <cell r="F53">
            <v>76245</v>
          </cell>
          <cell r="G53">
            <v>76245</v>
          </cell>
          <cell r="H53">
            <v>50830</v>
          </cell>
          <cell r="I53">
            <v>50830</v>
          </cell>
          <cell r="J53">
            <v>50830</v>
          </cell>
          <cell r="K53">
            <v>50830</v>
          </cell>
          <cell r="L53">
            <v>25415</v>
          </cell>
          <cell r="M53">
            <v>25415</v>
          </cell>
          <cell r="N53">
            <v>25415</v>
          </cell>
          <cell r="O53">
            <v>508300</v>
          </cell>
          <cell r="P53">
            <v>0</v>
          </cell>
          <cell r="Q53">
            <v>2200</v>
          </cell>
          <cell r="R53">
            <v>18249.785833333332</v>
          </cell>
          <cell r="S53">
            <v>0</v>
          </cell>
          <cell r="T53">
            <v>0</v>
          </cell>
          <cell r="U53">
            <v>20000</v>
          </cell>
          <cell r="V53">
            <v>16480.125</v>
          </cell>
          <cell r="W53">
            <v>12207.5</v>
          </cell>
          <cell r="X53">
            <v>49137.410833333328</v>
          </cell>
          <cell r="Y53">
            <v>479162.58916666667</v>
          </cell>
        </row>
        <row r="59">
          <cell r="C59" t="str">
            <v>PREPARED BY:............................................................</v>
          </cell>
          <cell r="F59" t="str">
            <v>CHECKED BY:...................................................</v>
          </cell>
          <cell r="K59" t="str">
            <v>AUTHOURISED BY:............................................................</v>
          </cell>
          <cell r="R59" t="str">
            <v>APPROVED BY:............................................................</v>
          </cell>
        </row>
        <row r="61">
          <cell r="C61" t="str">
            <v>EURAFRIC OIL &amp; COASTAL SERVICES LTD</v>
          </cell>
        </row>
        <row r="63">
          <cell r="C63" t="str">
            <v xml:space="preserve">STAFF SALARIES SCHEDULE </v>
          </cell>
        </row>
        <row r="64">
          <cell r="C64" t="str">
            <v xml:space="preserve">APRIL, 2017 PAY ADVICE </v>
          </cell>
        </row>
        <row r="65">
          <cell r="C65" t="str">
            <v>HEAD OFFICE STAFF</v>
          </cell>
        </row>
        <row r="66">
          <cell r="C66" t="str">
            <v>STAFF NAME</v>
          </cell>
          <cell r="D66" t="str">
            <v>DESIGNATION</v>
          </cell>
          <cell r="E66" t="str">
            <v>BASIC</v>
          </cell>
          <cell r="F66" t="str">
            <v>HOUSING</v>
          </cell>
          <cell r="G66" t="str">
            <v>TRANSPORT</v>
          </cell>
          <cell r="H66" t="str">
            <v>MEDICAL</v>
          </cell>
          <cell r="I66" t="str">
            <v>MEAL</v>
          </cell>
          <cell r="J66" t="str">
            <v>CLOTHING</v>
          </cell>
          <cell r="K66" t="str">
            <v>EDUCATN</v>
          </cell>
          <cell r="L66" t="str">
            <v>FURNITURE</v>
          </cell>
          <cell r="M66" t="str">
            <v>ENTERTAIN</v>
          </cell>
          <cell r="N66" t="str">
            <v>UTILITY</v>
          </cell>
          <cell r="O66" t="str">
            <v>GROSS PAY</v>
          </cell>
          <cell r="P66" t="str">
            <v>LOAN REPMT</v>
          </cell>
          <cell r="Q66" t="str">
            <v>WELFARE/</v>
          </cell>
          <cell r="R66" t="str">
            <v>PAYE</v>
          </cell>
          <cell r="S66" t="str">
            <v>UNIFORM</v>
          </cell>
          <cell r="T66" t="str">
            <v>LATE/ABSENT</v>
          </cell>
          <cell r="U66" t="str">
            <v>ADDITIONS</v>
          </cell>
          <cell r="V66" t="str">
            <v>PENSION</v>
          </cell>
          <cell r="W66" t="str">
            <v>ENDOWMENT</v>
          </cell>
          <cell r="X66" t="str">
            <v>TOTAL DED</v>
          </cell>
          <cell r="Y66" t="str">
            <v>NET PAY</v>
          </cell>
        </row>
        <row r="67">
          <cell r="C67" t="str">
            <v>ONORIODE ODJEGBA</v>
          </cell>
          <cell r="D67" t="str">
            <v>MD, HO</v>
          </cell>
          <cell r="E67">
            <v>120000</v>
          </cell>
          <cell r="F67">
            <v>120000</v>
          </cell>
          <cell r="G67">
            <v>120000</v>
          </cell>
          <cell r="H67">
            <v>80000</v>
          </cell>
          <cell r="I67">
            <v>80000</v>
          </cell>
          <cell r="J67">
            <v>80000</v>
          </cell>
          <cell r="K67">
            <v>80000</v>
          </cell>
          <cell r="L67">
            <v>40000</v>
          </cell>
          <cell r="M67">
            <v>40000</v>
          </cell>
          <cell r="N67">
            <v>40000</v>
          </cell>
          <cell r="O67">
            <v>800000</v>
          </cell>
          <cell r="Q67">
            <v>500</v>
          </cell>
          <cell r="R67">
            <v>120986.66666666667</v>
          </cell>
          <cell r="V67">
            <v>27000</v>
          </cell>
          <cell r="W67">
            <v>20000</v>
          </cell>
          <cell r="X67">
            <v>168486.66666666669</v>
          </cell>
          <cell r="Y67">
            <v>631513.33333333326</v>
          </cell>
        </row>
        <row r="68">
          <cell r="C68" t="str">
            <v xml:space="preserve">OFOMATA CHINWE </v>
          </cell>
          <cell r="D68" t="str">
            <v>DEPOT MANAGER</v>
          </cell>
          <cell r="E68">
            <v>52500</v>
          </cell>
          <cell r="F68">
            <v>52500</v>
          </cell>
          <cell r="G68">
            <v>52500</v>
          </cell>
          <cell r="H68">
            <v>35000</v>
          </cell>
          <cell r="I68">
            <v>35000</v>
          </cell>
          <cell r="J68">
            <v>35000</v>
          </cell>
          <cell r="K68">
            <v>35000</v>
          </cell>
          <cell r="L68">
            <v>17500</v>
          </cell>
          <cell r="M68">
            <v>17500</v>
          </cell>
          <cell r="N68">
            <v>17500</v>
          </cell>
          <cell r="O68">
            <v>350000</v>
          </cell>
          <cell r="Q68">
            <v>500</v>
          </cell>
          <cell r="R68">
            <v>41648.541666666664</v>
          </cell>
          <cell r="T68">
            <v>1500</v>
          </cell>
          <cell r="V68">
            <v>11812.5</v>
          </cell>
          <cell r="W68">
            <v>8750</v>
          </cell>
          <cell r="X68">
            <v>64211.041666666664</v>
          </cell>
          <cell r="Y68">
            <v>285788.95833333331</v>
          </cell>
        </row>
        <row r="69">
          <cell r="C69" t="str">
            <v>CHINWE MUANYA</v>
          </cell>
          <cell r="D69" t="str">
            <v>HR MGR III</v>
          </cell>
          <cell r="E69">
            <v>45000</v>
          </cell>
          <cell r="F69">
            <v>45000</v>
          </cell>
          <cell r="G69">
            <v>45000</v>
          </cell>
          <cell r="H69">
            <v>30000</v>
          </cell>
          <cell r="I69">
            <v>30000</v>
          </cell>
          <cell r="J69">
            <v>30000</v>
          </cell>
          <cell r="K69">
            <v>30000</v>
          </cell>
          <cell r="L69">
            <v>15000</v>
          </cell>
          <cell r="M69">
            <v>15000</v>
          </cell>
          <cell r="N69">
            <v>15000</v>
          </cell>
          <cell r="O69">
            <v>300000</v>
          </cell>
          <cell r="Q69">
            <v>500</v>
          </cell>
          <cell r="R69">
            <v>33865.416666666664</v>
          </cell>
          <cell r="V69">
            <v>10125</v>
          </cell>
          <cell r="W69">
            <v>7500</v>
          </cell>
          <cell r="X69">
            <v>51990.416666666664</v>
          </cell>
          <cell r="Y69">
            <v>248009.58333333334</v>
          </cell>
        </row>
        <row r="70">
          <cell r="C70" t="str">
            <v>CHIORI NNENNAYA</v>
          </cell>
          <cell r="D70" t="str">
            <v>S&amp;D, MGR I</v>
          </cell>
          <cell r="E70">
            <v>22500</v>
          </cell>
          <cell r="F70">
            <v>22500</v>
          </cell>
          <cell r="G70">
            <v>22500</v>
          </cell>
          <cell r="H70">
            <v>15000</v>
          </cell>
          <cell r="I70">
            <v>15000</v>
          </cell>
          <cell r="J70">
            <v>15000</v>
          </cell>
          <cell r="K70">
            <v>15000</v>
          </cell>
          <cell r="L70">
            <v>7500</v>
          </cell>
          <cell r="M70">
            <v>7500</v>
          </cell>
          <cell r="N70">
            <v>7500</v>
          </cell>
          <cell r="O70">
            <v>150000</v>
          </cell>
          <cell r="Q70">
            <v>500</v>
          </cell>
          <cell r="R70">
            <v>11292.291666666666</v>
          </cell>
          <cell r="V70">
            <v>5062.5</v>
          </cell>
          <cell r="W70">
            <v>3750</v>
          </cell>
          <cell r="X70">
            <v>20604.791666666664</v>
          </cell>
          <cell r="Y70">
            <v>129395.20833333334</v>
          </cell>
        </row>
        <row r="71">
          <cell r="C71" t="str">
            <v>AJAYI AKINOLA</v>
          </cell>
          <cell r="D71" t="str">
            <v>MAINTENANCE/OPS, MGR I</v>
          </cell>
          <cell r="E71">
            <v>15450</v>
          </cell>
          <cell r="F71">
            <v>15450</v>
          </cell>
          <cell r="G71">
            <v>15450</v>
          </cell>
          <cell r="H71">
            <v>10300</v>
          </cell>
          <cell r="I71">
            <v>10300</v>
          </cell>
          <cell r="J71">
            <v>10300</v>
          </cell>
          <cell r="K71">
            <v>10300</v>
          </cell>
          <cell r="L71">
            <v>5150</v>
          </cell>
          <cell r="M71">
            <v>5150</v>
          </cell>
          <cell r="N71">
            <v>5150</v>
          </cell>
          <cell r="O71">
            <v>103000</v>
          </cell>
          <cell r="Q71">
            <v>500</v>
          </cell>
          <cell r="R71">
            <v>5952.3125</v>
          </cell>
          <cell r="V71">
            <v>3476.25</v>
          </cell>
          <cell r="W71">
            <v>2575</v>
          </cell>
          <cell r="X71">
            <v>12503.5625</v>
          </cell>
          <cell r="Y71">
            <v>90496.4375</v>
          </cell>
        </row>
        <row r="72">
          <cell r="C72" t="str">
            <v>SANNI FLORENCE</v>
          </cell>
          <cell r="D72" t="str">
            <v>S&amp;D OFFICER II</v>
          </cell>
          <cell r="E72">
            <v>12000</v>
          </cell>
          <cell r="F72">
            <v>12000</v>
          </cell>
          <cell r="G72">
            <v>12000</v>
          </cell>
          <cell r="H72">
            <v>8000</v>
          </cell>
          <cell r="I72">
            <v>8000</v>
          </cell>
          <cell r="J72">
            <v>8000</v>
          </cell>
          <cell r="K72">
            <v>8000</v>
          </cell>
          <cell r="L72">
            <v>4000</v>
          </cell>
          <cell r="M72">
            <v>4000</v>
          </cell>
          <cell r="N72">
            <v>4000</v>
          </cell>
          <cell r="O72">
            <v>80000</v>
          </cell>
          <cell r="Q72">
            <v>200</v>
          </cell>
          <cell r="R72">
            <v>3689.6666666666665</v>
          </cell>
          <cell r="V72">
            <v>2700</v>
          </cell>
          <cell r="W72">
            <v>2000</v>
          </cell>
          <cell r="X72">
            <v>8589.6666666666661</v>
          </cell>
          <cell r="Y72">
            <v>71410.333333333328</v>
          </cell>
        </row>
        <row r="73">
          <cell r="C73" t="str">
            <v>ROTIMI VAUGHAN</v>
          </cell>
          <cell r="D73" t="str">
            <v>ADMIN OFFICER II</v>
          </cell>
          <cell r="E73">
            <v>16500</v>
          </cell>
          <cell r="F73">
            <v>16500</v>
          </cell>
          <cell r="G73">
            <v>16500</v>
          </cell>
          <cell r="H73">
            <v>11000</v>
          </cell>
          <cell r="I73">
            <v>11000</v>
          </cell>
          <cell r="J73">
            <v>11000</v>
          </cell>
          <cell r="K73">
            <v>11000</v>
          </cell>
          <cell r="L73">
            <v>5500</v>
          </cell>
          <cell r="M73">
            <v>5500</v>
          </cell>
          <cell r="N73">
            <v>5500</v>
          </cell>
          <cell r="O73">
            <v>110000</v>
          </cell>
          <cell r="P73">
            <v>5000</v>
          </cell>
          <cell r="Q73">
            <v>500</v>
          </cell>
          <cell r="R73">
            <v>6730.625</v>
          </cell>
          <cell r="V73">
            <v>3712.5</v>
          </cell>
          <cell r="W73">
            <v>2750</v>
          </cell>
          <cell r="X73">
            <v>18693.125</v>
          </cell>
          <cell r="Y73">
            <v>91306.875</v>
          </cell>
        </row>
        <row r="74">
          <cell r="C74" t="str">
            <v>WAHAB SALIU</v>
          </cell>
          <cell r="D74" t="str">
            <v>DRIVER V</v>
          </cell>
          <cell r="E74">
            <v>10500</v>
          </cell>
          <cell r="F74">
            <v>10500</v>
          </cell>
          <cell r="G74">
            <v>10500</v>
          </cell>
          <cell r="H74">
            <v>7000</v>
          </cell>
          <cell r="I74">
            <v>7000</v>
          </cell>
          <cell r="J74">
            <v>7000</v>
          </cell>
          <cell r="K74">
            <v>7000</v>
          </cell>
          <cell r="L74">
            <v>3500</v>
          </cell>
          <cell r="M74">
            <v>3500</v>
          </cell>
          <cell r="N74">
            <v>3500</v>
          </cell>
          <cell r="O74">
            <v>70000</v>
          </cell>
          <cell r="Q74">
            <v>200</v>
          </cell>
          <cell r="R74">
            <v>2874.2916666666665</v>
          </cell>
          <cell r="V74">
            <v>2362.5</v>
          </cell>
          <cell r="W74">
            <v>1750</v>
          </cell>
          <cell r="X74">
            <v>7186.7916666666661</v>
          </cell>
          <cell r="Y74">
            <v>62813.208333333336</v>
          </cell>
        </row>
        <row r="75">
          <cell r="C75" t="str">
            <v>BERNARD FADAYOMI</v>
          </cell>
          <cell r="D75" t="str">
            <v>DRIVER IV</v>
          </cell>
          <cell r="E75">
            <v>9000</v>
          </cell>
          <cell r="F75">
            <v>9000</v>
          </cell>
          <cell r="G75">
            <v>9000</v>
          </cell>
          <cell r="H75">
            <v>6000</v>
          </cell>
          <cell r="I75">
            <v>6000</v>
          </cell>
          <cell r="J75">
            <v>6000</v>
          </cell>
          <cell r="K75">
            <v>6000</v>
          </cell>
          <cell r="L75">
            <v>3000</v>
          </cell>
          <cell r="M75">
            <v>3000</v>
          </cell>
          <cell r="N75">
            <v>3000</v>
          </cell>
          <cell r="O75">
            <v>60000</v>
          </cell>
          <cell r="Q75">
            <v>200</v>
          </cell>
          <cell r="R75">
            <v>2058.9166666666665</v>
          </cell>
          <cell r="U75">
            <v>5000</v>
          </cell>
          <cell r="V75">
            <v>2025</v>
          </cell>
          <cell r="W75">
            <v>1500</v>
          </cell>
          <cell r="X75">
            <v>5783.9166666666661</v>
          </cell>
          <cell r="Y75">
            <v>59216.083333333336</v>
          </cell>
        </row>
        <row r="76">
          <cell r="C76" t="str">
            <v>ADESANYA SURAKATT</v>
          </cell>
          <cell r="D76" t="str">
            <v>DRIVER III</v>
          </cell>
          <cell r="E76">
            <v>6750</v>
          </cell>
          <cell r="F76">
            <v>6750</v>
          </cell>
          <cell r="G76">
            <v>6750</v>
          </cell>
          <cell r="H76">
            <v>4500</v>
          </cell>
          <cell r="I76">
            <v>4500</v>
          </cell>
          <cell r="J76">
            <v>4500</v>
          </cell>
          <cell r="K76">
            <v>4500</v>
          </cell>
          <cell r="L76">
            <v>2250</v>
          </cell>
          <cell r="M76">
            <v>2250</v>
          </cell>
          <cell r="N76">
            <v>2250</v>
          </cell>
          <cell r="O76">
            <v>45000</v>
          </cell>
          <cell r="Q76">
            <v>200</v>
          </cell>
          <cell r="R76">
            <v>1168.2708333333335</v>
          </cell>
          <cell r="V76">
            <v>1518.75</v>
          </cell>
          <cell r="W76">
            <v>1125</v>
          </cell>
          <cell r="X76">
            <v>4012.0208333333335</v>
          </cell>
          <cell r="Y76">
            <v>40987.979166666664</v>
          </cell>
        </row>
        <row r="77">
          <cell r="C77" t="str">
            <v>CHIDI SOLOMON</v>
          </cell>
          <cell r="D77" t="str">
            <v>DRIVER III</v>
          </cell>
          <cell r="E77">
            <v>6750</v>
          </cell>
          <cell r="F77">
            <v>6750</v>
          </cell>
          <cell r="G77">
            <v>6750</v>
          </cell>
          <cell r="H77">
            <v>4500</v>
          </cell>
          <cell r="I77">
            <v>4500</v>
          </cell>
          <cell r="J77">
            <v>4500</v>
          </cell>
          <cell r="K77">
            <v>4500</v>
          </cell>
          <cell r="L77">
            <v>2250</v>
          </cell>
          <cell r="M77">
            <v>2250</v>
          </cell>
          <cell r="N77">
            <v>2250</v>
          </cell>
          <cell r="O77">
            <v>45000</v>
          </cell>
          <cell r="Q77">
            <v>200</v>
          </cell>
          <cell r="R77">
            <v>1168.2708333333335</v>
          </cell>
          <cell r="V77">
            <v>1518.75</v>
          </cell>
          <cell r="W77">
            <v>1125</v>
          </cell>
          <cell r="X77">
            <v>4012.0208333333335</v>
          </cell>
          <cell r="Y77">
            <v>40987.979166666664</v>
          </cell>
        </row>
        <row r="78">
          <cell r="C78" t="str">
            <v>FATAI TIRIMISIYU</v>
          </cell>
          <cell r="D78" t="str">
            <v>DRIVER III</v>
          </cell>
          <cell r="E78">
            <v>6750</v>
          </cell>
          <cell r="F78">
            <v>6750</v>
          </cell>
          <cell r="G78">
            <v>6750</v>
          </cell>
          <cell r="H78">
            <v>4500</v>
          </cell>
          <cell r="I78">
            <v>4500</v>
          </cell>
          <cell r="J78">
            <v>4500</v>
          </cell>
          <cell r="K78">
            <v>4500</v>
          </cell>
          <cell r="L78">
            <v>2250</v>
          </cell>
          <cell r="M78">
            <v>2250</v>
          </cell>
          <cell r="N78">
            <v>2250</v>
          </cell>
          <cell r="O78">
            <v>45000</v>
          </cell>
          <cell r="Q78">
            <v>200</v>
          </cell>
          <cell r="R78">
            <v>1168.2708333333335</v>
          </cell>
          <cell r="V78">
            <v>1518.75</v>
          </cell>
          <cell r="W78">
            <v>1125</v>
          </cell>
          <cell r="X78">
            <v>4012.0208333333335</v>
          </cell>
          <cell r="Y78">
            <v>40987.979166666664</v>
          </cell>
        </row>
        <row r="79">
          <cell r="C79" t="str">
            <v>DAVID EMEKA OHAI</v>
          </cell>
          <cell r="D79" t="str">
            <v>OFFICE ASSISTANT III</v>
          </cell>
          <cell r="E79">
            <v>7500</v>
          </cell>
          <cell r="F79">
            <v>7500</v>
          </cell>
          <cell r="G79">
            <v>7500</v>
          </cell>
          <cell r="H79">
            <v>5000</v>
          </cell>
          <cell r="I79">
            <v>5000</v>
          </cell>
          <cell r="J79">
            <v>5000</v>
          </cell>
          <cell r="K79">
            <v>5000</v>
          </cell>
          <cell r="L79">
            <v>2500</v>
          </cell>
          <cell r="M79">
            <v>2500</v>
          </cell>
          <cell r="N79">
            <v>2500</v>
          </cell>
          <cell r="O79">
            <v>50000</v>
          </cell>
          <cell r="Q79">
            <v>200</v>
          </cell>
          <cell r="R79">
            <v>1427.7083333333333</v>
          </cell>
          <cell r="V79">
            <v>1687.5</v>
          </cell>
          <cell r="W79">
            <v>1250</v>
          </cell>
          <cell r="X79">
            <v>4565.208333333333</v>
          </cell>
          <cell r="Y79">
            <v>45434.791666666664</v>
          </cell>
        </row>
        <row r="80">
          <cell r="C80" t="str">
            <v>EJIOFOR CHIAMAKA</v>
          </cell>
          <cell r="D80" t="str">
            <v>FRONTDECK EXECUTIVE</v>
          </cell>
          <cell r="E80">
            <v>10500</v>
          </cell>
          <cell r="F80">
            <v>10500</v>
          </cell>
          <cell r="G80">
            <v>10500</v>
          </cell>
          <cell r="H80">
            <v>7000</v>
          </cell>
          <cell r="I80">
            <v>7000</v>
          </cell>
          <cell r="J80">
            <v>7000</v>
          </cell>
          <cell r="K80">
            <v>7000</v>
          </cell>
          <cell r="L80">
            <v>3500</v>
          </cell>
          <cell r="M80">
            <v>3500</v>
          </cell>
          <cell r="N80">
            <v>3500</v>
          </cell>
          <cell r="O80">
            <v>70000</v>
          </cell>
          <cell r="Q80">
            <v>200</v>
          </cell>
          <cell r="R80">
            <v>2874.2916666666665</v>
          </cell>
          <cell r="V80">
            <v>2362.5</v>
          </cell>
          <cell r="W80">
            <v>1750</v>
          </cell>
          <cell r="X80">
            <v>7186.7916666666661</v>
          </cell>
          <cell r="Y80">
            <v>62813.208333333336</v>
          </cell>
        </row>
        <row r="81">
          <cell r="C81" t="str">
            <v>ODUPE STEPHEN TOLULOPE</v>
          </cell>
          <cell r="D81" t="str">
            <v>LEGAL ADVISER</v>
          </cell>
          <cell r="E81">
            <v>37500</v>
          </cell>
          <cell r="F81">
            <v>37500</v>
          </cell>
          <cell r="G81">
            <v>37500</v>
          </cell>
          <cell r="H81">
            <v>25000</v>
          </cell>
          <cell r="I81">
            <v>25000</v>
          </cell>
          <cell r="J81">
            <v>25000</v>
          </cell>
          <cell r="K81">
            <v>25000</v>
          </cell>
          <cell r="L81">
            <v>12500</v>
          </cell>
          <cell r="M81">
            <v>12500</v>
          </cell>
          <cell r="N81">
            <v>12500</v>
          </cell>
          <cell r="O81">
            <v>250000</v>
          </cell>
          <cell r="Q81">
            <v>500</v>
          </cell>
          <cell r="R81">
            <v>26082.291666666668</v>
          </cell>
          <cell r="V81">
            <v>8437.5</v>
          </cell>
          <cell r="W81">
            <v>6250</v>
          </cell>
          <cell r="X81">
            <v>41269.791666666672</v>
          </cell>
          <cell r="Y81">
            <v>208730.20833333331</v>
          </cell>
        </row>
        <row r="82">
          <cell r="C82" t="str">
            <v>ABIMBOLA O. OJOSIPE</v>
          </cell>
          <cell r="D82" t="str">
            <v>SNR. ACCOUNTANT</v>
          </cell>
          <cell r="E82">
            <v>37500</v>
          </cell>
          <cell r="F82">
            <v>37500</v>
          </cell>
          <cell r="G82">
            <v>37500</v>
          </cell>
          <cell r="H82">
            <v>25000</v>
          </cell>
          <cell r="I82">
            <v>25000</v>
          </cell>
          <cell r="J82">
            <v>25000</v>
          </cell>
          <cell r="K82">
            <v>25000</v>
          </cell>
          <cell r="L82">
            <v>12500</v>
          </cell>
          <cell r="M82">
            <v>12500</v>
          </cell>
          <cell r="N82">
            <v>12500</v>
          </cell>
          <cell r="O82">
            <v>250000</v>
          </cell>
          <cell r="Q82">
            <v>500</v>
          </cell>
          <cell r="R82">
            <v>26082.291666666668</v>
          </cell>
          <cell r="V82">
            <v>8437.5</v>
          </cell>
          <cell r="W82">
            <v>6250</v>
          </cell>
          <cell r="X82">
            <v>41269.791666666672</v>
          </cell>
          <cell r="Y82">
            <v>208730.20833333331</v>
          </cell>
        </row>
        <row r="83">
          <cell r="C83" t="str">
            <v>NSE-ABASI EBONG</v>
          </cell>
          <cell r="D83" t="str">
            <v>Driver</v>
          </cell>
          <cell r="E83">
            <v>6000</v>
          </cell>
          <cell r="F83">
            <v>6000</v>
          </cell>
          <cell r="G83">
            <v>6000</v>
          </cell>
          <cell r="H83">
            <v>4000</v>
          </cell>
          <cell r="I83">
            <v>4000</v>
          </cell>
          <cell r="J83">
            <v>4000</v>
          </cell>
          <cell r="K83">
            <v>4000</v>
          </cell>
          <cell r="L83">
            <v>2000</v>
          </cell>
          <cell r="M83">
            <v>2000</v>
          </cell>
          <cell r="N83">
            <v>2000</v>
          </cell>
          <cell r="O83">
            <v>40000</v>
          </cell>
          <cell r="Q83">
            <v>200</v>
          </cell>
          <cell r="R83">
            <v>908.83333333333348</v>
          </cell>
          <cell r="U83">
            <v>10000</v>
          </cell>
          <cell r="V83">
            <v>1350</v>
          </cell>
          <cell r="W83">
            <v>1000</v>
          </cell>
          <cell r="X83">
            <v>3458.8333333333335</v>
          </cell>
          <cell r="Y83">
            <v>46541.166666666664</v>
          </cell>
        </row>
        <row r="84">
          <cell r="C84" t="str">
            <v>NNAMDI OJE UTI</v>
          </cell>
          <cell r="D84" t="str">
            <v>Head of FINANCE</v>
          </cell>
          <cell r="E84">
            <v>67500</v>
          </cell>
          <cell r="F84">
            <v>67500</v>
          </cell>
          <cell r="G84">
            <v>67500</v>
          </cell>
          <cell r="H84">
            <v>45000</v>
          </cell>
          <cell r="I84">
            <v>45000</v>
          </cell>
          <cell r="J84">
            <v>45000</v>
          </cell>
          <cell r="K84">
            <v>45000</v>
          </cell>
          <cell r="L84">
            <v>22500</v>
          </cell>
          <cell r="M84">
            <v>22500</v>
          </cell>
          <cell r="N84">
            <v>22500</v>
          </cell>
          <cell r="O84">
            <v>450000</v>
          </cell>
          <cell r="Q84">
            <v>500</v>
          </cell>
          <cell r="R84">
            <v>58721.666666666664</v>
          </cell>
          <cell r="T84">
            <v>1500</v>
          </cell>
          <cell r="V84">
            <v>15187.5</v>
          </cell>
          <cell r="W84">
            <v>11250</v>
          </cell>
          <cell r="X84">
            <v>87159.166666666657</v>
          </cell>
          <cell r="Y84">
            <v>362840.83333333337</v>
          </cell>
        </row>
        <row r="85">
          <cell r="C85" t="str">
            <v xml:space="preserve">NWAUCHE  ERASTUS  </v>
          </cell>
          <cell r="D85" t="str">
            <v>SNR MGR, PET. ENGINEER</v>
          </cell>
          <cell r="E85">
            <v>54075</v>
          </cell>
          <cell r="F85">
            <v>54075</v>
          </cell>
          <cell r="G85">
            <v>54075</v>
          </cell>
          <cell r="H85">
            <v>36050</v>
          </cell>
          <cell r="I85">
            <v>36050</v>
          </cell>
          <cell r="J85">
            <v>36050</v>
          </cell>
          <cell r="K85">
            <v>36050</v>
          </cell>
          <cell r="L85">
            <v>18025</v>
          </cell>
          <cell r="M85">
            <v>18025</v>
          </cell>
          <cell r="N85">
            <v>18025</v>
          </cell>
          <cell r="O85">
            <v>360500</v>
          </cell>
          <cell r="Q85">
            <v>500</v>
          </cell>
          <cell r="R85">
            <v>43282.997916666667</v>
          </cell>
          <cell r="V85">
            <v>12166.875</v>
          </cell>
          <cell r="W85">
            <v>9012.5</v>
          </cell>
          <cell r="X85">
            <v>64962.372916666667</v>
          </cell>
          <cell r="Y85">
            <v>295537.62708333333</v>
          </cell>
        </row>
        <row r="86">
          <cell r="C86" t="str">
            <v>UCHENDU, UCHECHUKWU</v>
          </cell>
          <cell r="D86" t="str">
            <v>SNR. ACCOUNTANT</v>
          </cell>
          <cell r="E86">
            <v>34500</v>
          </cell>
          <cell r="F86">
            <v>34500</v>
          </cell>
          <cell r="G86">
            <v>34500</v>
          </cell>
          <cell r="H86">
            <v>23000</v>
          </cell>
          <cell r="I86">
            <v>23000</v>
          </cell>
          <cell r="J86">
            <v>23000</v>
          </cell>
          <cell r="K86">
            <v>23000</v>
          </cell>
          <cell r="L86">
            <v>11500</v>
          </cell>
          <cell r="M86">
            <v>11500</v>
          </cell>
          <cell r="N86">
            <v>11500</v>
          </cell>
          <cell r="O86">
            <v>230000</v>
          </cell>
          <cell r="Q86">
            <v>500</v>
          </cell>
          <cell r="R86">
            <v>22969.041666666668</v>
          </cell>
          <cell r="T86">
            <v>109097.3904347826</v>
          </cell>
          <cell r="V86">
            <v>7762.5</v>
          </cell>
          <cell r="W86">
            <v>5750</v>
          </cell>
          <cell r="X86">
            <v>146078.93210144926</v>
          </cell>
          <cell r="Y86">
            <v>83921.06789855074</v>
          </cell>
        </row>
        <row r="87">
          <cell r="C87" t="str">
            <v>AKERELE, EUNICE</v>
          </cell>
          <cell r="D87" t="str">
            <v>SNR. ACCOUNTANT</v>
          </cell>
          <cell r="E87">
            <v>34500</v>
          </cell>
          <cell r="F87">
            <v>34500</v>
          </cell>
          <cell r="G87">
            <v>34500</v>
          </cell>
          <cell r="H87">
            <v>23000</v>
          </cell>
          <cell r="I87">
            <v>23000</v>
          </cell>
          <cell r="J87">
            <v>23000</v>
          </cell>
          <cell r="K87">
            <v>23000</v>
          </cell>
          <cell r="L87">
            <v>11500</v>
          </cell>
          <cell r="M87">
            <v>11500</v>
          </cell>
          <cell r="N87">
            <v>11500</v>
          </cell>
          <cell r="O87">
            <v>230000</v>
          </cell>
          <cell r="Q87">
            <v>500</v>
          </cell>
          <cell r="R87">
            <v>22969.041666666668</v>
          </cell>
          <cell r="T87">
            <v>109097.3904347826</v>
          </cell>
          <cell r="V87">
            <v>7762.5</v>
          </cell>
          <cell r="W87">
            <v>5750</v>
          </cell>
          <cell r="X87">
            <v>146078.93210144926</v>
          </cell>
          <cell r="Y87">
            <v>83921.06789855074</v>
          </cell>
        </row>
        <row r="89">
          <cell r="C89" t="str">
            <v>Total</v>
          </cell>
          <cell r="E89">
            <v>613275</v>
          </cell>
          <cell r="F89">
            <v>613275</v>
          </cell>
          <cell r="G89">
            <v>613275</v>
          </cell>
          <cell r="H89">
            <v>408850</v>
          </cell>
          <cell r="I89">
            <v>408850</v>
          </cell>
          <cell r="J89">
            <v>408850</v>
          </cell>
          <cell r="K89">
            <v>408850</v>
          </cell>
          <cell r="L89">
            <v>204425</v>
          </cell>
          <cell r="M89">
            <v>204425</v>
          </cell>
          <cell r="N89">
            <v>204425</v>
          </cell>
          <cell r="O89">
            <v>4088500</v>
          </cell>
          <cell r="P89">
            <v>5000</v>
          </cell>
          <cell r="Q89">
            <v>7800</v>
          </cell>
          <cell r="R89">
            <v>437921.70625000005</v>
          </cell>
          <cell r="S89">
            <v>0</v>
          </cell>
          <cell r="T89">
            <v>221194.78086956521</v>
          </cell>
          <cell r="U89">
            <v>15000</v>
          </cell>
          <cell r="V89">
            <v>137986.875</v>
          </cell>
          <cell r="W89">
            <v>102212.5</v>
          </cell>
          <cell r="X89">
            <v>912115.86211956514</v>
          </cell>
          <cell r="Y89">
            <v>3191384.1378804343</v>
          </cell>
        </row>
        <row r="96">
          <cell r="C96" t="str">
            <v>PREPARED BY:............................................................</v>
          </cell>
          <cell r="F96" t="str">
            <v>CHECKED BY:...................................................</v>
          </cell>
          <cell r="K96" t="str">
            <v>AUTHOURISED BY:............................................................</v>
          </cell>
          <cell r="R96" t="str">
            <v>APPROVED BY:............................................................</v>
          </cell>
        </row>
        <row r="99">
          <cell r="C99" t="str">
            <v xml:space="preserve">STAFF SALARIES SCHEDULE </v>
          </cell>
        </row>
        <row r="100">
          <cell r="C100" t="str">
            <v xml:space="preserve">APRIL, 2017 PAY ADVICE </v>
          </cell>
        </row>
        <row r="101">
          <cell r="C101" t="str">
            <v>DEPARTMENTS/LOCATIONS</v>
          </cell>
          <cell r="D101" t="str">
            <v>LOCATION</v>
          </cell>
          <cell r="E101" t="str">
            <v>BASIC</v>
          </cell>
          <cell r="F101" t="str">
            <v>HOUSING</v>
          </cell>
          <cell r="G101" t="str">
            <v>TRANSPORT</v>
          </cell>
          <cell r="H101" t="str">
            <v>MEDICAL</v>
          </cell>
          <cell r="I101" t="str">
            <v>MEAL</v>
          </cell>
          <cell r="J101" t="str">
            <v>CLOTHING</v>
          </cell>
          <cell r="K101" t="str">
            <v>EDUCATN</v>
          </cell>
          <cell r="L101" t="str">
            <v>FURNITURE</v>
          </cell>
          <cell r="M101" t="str">
            <v>ENTERTAIN</v>
          </cell>
          <cell r="N101" t="str">
            <v>UTILITY</v>
          </cell>
          <cell r="O101" t="str">
            <v>GROSS PAY</v>
          </cell>
          <cell r="P101" t="str">
            <v>LOAN REPMT</v>
          </cell>
          <cell r="Q101" t="str">
            <v>WELFARE</v>
          </cell>
          <cell r="R101" t="str">
            <v>PAYE</v>
          </cell>
          <cell r="S101" t="str">
            <v>UNIFORM</v>
          </cell>
          <cell r="T101" t="str">
            <v>LATE/ABSENT</v>
          </cell>
          <cell r="U101" t="str">
            <v>ADDITIONS</v>
          </cell>
          <cell r="V101" t="str">
            <v>PENSION</v>
          </cell>
          <cell r="W101" t="str">
            <v>ENDOWMENT</v>
          </cell>
          <cell r="X101" t="str">
            <v>TOTAL DED</v>
          </cell>
          <cell r="Y101" t="str">
            <v>50%-PAY</v>
          </cell>
        </row>
        <row r="102">
          <cell r="C102" t="str">
            <v>SECURITY STAFF</v>
          </cell>
          <cell r="D102" t="str">
            <v>LAGOS</v>
          </cell>
          <cell r="E102">
            <v>120000</v>
          </cell>
          <cell r="F102">
            <v>120000</v>
          </cell>
          <cell r="G102">
            <v>120000</v>
          </cell>
          <cell r="H102">
            <v>80000</v>
          </cell>
          <cell r="I102">
            <v>80000</v>
          </cell>
          <cell r="J102">
            <v>80000</v>
          </cell>
          <cell r="K102">
            <v>80000</v>
          </cell>
          <cell r="L102">
            <v>40000</v>
          </cell>
          <cell r="M102">
            <v>40000</v>
          </cell>
          <cell r="N102">
            <v>40000</v>
          </cell>
          <cell r="O102">
            <v>800000</v>
          </cell>
          <cell r="P102">
            <v>0</v>
          </cell>
          <cell r="Q102">
            <v>4500</v>
          </cell>
          <cell r="R102">
            <v>21685.833333333321</v>
          </cell>
          <cell r="S102">
            <v>6000</v>
          </cell>
          <cell r="T102">
            <v>10000</v>
          </cell>
          <cell r="U102">
            <v>0</v>
          </cell>
          <cell r="V102">
            <v>21937.5</v>
          </cell>
          <cell r="W102">
            <v>20000</v>
          </cell>
          <cell r="X102">
            <v>84123.333333333328</v>
          </cell>
          <cell r="Y102">
            <v>715876.66666666651</v>
          </cell>
        </row>
        <row r="103">
          <cell r="C103" t="str">
            <v>DEPOT STAFF</v>
          </cell>
          <cell r="D103" t="str">
            <v>LAGOS</v>
          </cell>
          <cell r="E103">
            <v>76245</v>
          </cell>
          <cell r="F103">
            <v>76245</v>
          </cell>
          <cell r="G103">
            <v>76245</v>
          </cell>
          <cell r="H103">
            <v>50830</v>
          </cell>
          <cell r="I103">
            <v>50830</v>
          </cell>
          <cell r="J103">
            <v>50830</v>
          </cell>
          <cell r="K103">
            <v>50830</v>
          </cell>
          <cell r="L103">
            <v>25415</v>
          </cell>
          <cell r="M103">
            <v>25415</v>
          </cell>
          <cell r="N103">
            <v>25415</v>
          </cell>
          <cell r="O103">
            <v>508300</v>
          </cell>
          <cell r="P103">
            <v>0</v>
          </cell>
          <cell r="Q103">
            <v>2200</v>
          </cell>
          <cell r="R103">
            <v>18249.785833333332</v>
          </cell>
          <cell r="S103">
            <v>0</v>
          </cell>
          <cell r="T103">
            <v>0</v>
          </cell>
          <cell r="U103">
            <v>20000</v>
          </cell>
          <cell r="V103">
            <v>16480.125</v>
          </cell>
          <cell r="W103">
            <v>12207.5</v>
          </cell>
          <cell r="X103">
            <v>49137.410833333328</v>
          </cell>
          <cell r="Y103">
            <v>479162.58916666667</v>
          </cell>
        </row>
        <row r="104">
          <cell r="C104" t="str">
            <v>HEAD OFFICE STAFF</v>
          </cell>
          <cell r="D104" t="str">
            <v>LAGOS</v>
          </cell>
          <cell r="E104">
            <v>613275</v>
          </cell>
          <cell r="F104">
            <v>613275</v>
          </cell>
          <cell r="G104">
            <v>613275</v>
          </cell>
          <cell r="H104">
            <v>408850</v>
          </cell>
          <cell r="I104">
            <v>408850</v>
          </cell>
          <cell r="J104">
            <v>408850</v>
          </cell>
          <cell r="K104">
            <v>408850</v>
          </cell>
          <cell r="L104">
            <v>204425</v>
          </cell>
          <cell r="M104">
            <v>204425</v>
          </cell>
          <cell r="N104">
            <v>204425</v>
          </cell>
          <cell r="O104">
            <v>4088500</v>
          </cell>
          <cell r="P104">
            <v>5000</v>
          </cell>
          <cell r="Q104">
            <v>7800</v>
          </cell>
          <cell r="R104">
            <v>437921.70625000005</v>
          </cell>
          <cell r="S104">
            <v>0</v>
          </cell>
          <cell r="T104">
            <v>221194.78086956521</v>
          </cell>
          <cell r="U104">
            <v>15000</v>
          </cell>
          <cell r="V104">
            <v>137986.875</v>
          </cell>
          <cell r="W104">
            <v>102212.5</v>
          </cell>
          <cell r="X104">
            <v>912115.86211956514</v>
          </cell>
          <cell r="Y104">
            <v>3191384.1378804343</v>
          </cell>
        </row>
        <row r="106">
          <cell r="C106" t="str">
            <v>GRAND TOTAL</v>
          </cell>
          <cell r="E106">
            <v>809520</v>
          </cell>
          <cell r="F106">
            <v>809520</v>
          </cell>
          <cell r="G106">
            <v>809520</v>
          </cell>
          <cell r="H106">
            <v>539680</v>
          </cell>
          <cell r="I106">
            <v>539680</v>
          </cell>
          <cell r="J106">
            <v>539680</v>
          </cell>
          <cell r="K106">
            <v>539680</v>
          </cell>
          <cell r="L106">
            <v>269840</v>
          </cell>
          <cell r="M106">
            <v>269840</v>
          </cell>
          <cell r="N106">
            <v>269840</v>
          </cell>
          <cell r="O106">
            <v>5396800</v>
          </cell>
          <cell r="P106">
            <v>5000</v>
          </cell>
          <cell r="Q106">
            <v>14500</v>
          </cell>
          <cell r="R106">
            <v>477857.32541666669</v>
          </cell>
          <cell r="S106">
            <v>6000</v>
          </cell>
          <cell r="T106">
            <v>231194.78086956521</v>
          </cell>
          <cell r="U106">
            <v>35000</v>
          </cell>
          <cell r="V106">
            <v>176404.5</v>
          </cell>
          <cell r="W106">
            <v>134420</v>
          </cell>
          <cell r="X106">
            <v>1045376.6062862318</v>
          </cell>
          <cell r="Y106">
            <v>4386423.3937137676</v>
          </cell>
        </row>
        <row r="111">
          <cell r="C111" t="str">
            <v>PREPARED BY:............................................................</v>
          </cell>
          <cell r="F111" t="str">
            <v>CHECKED BY:...................................................</v>
          </cell>
          <cell r="K111" t="str">
            <v>AUTHOURISED BY:............................................................</v>
          </cell>
          <cell r="R111" t="str">
            <v>APPROVED BY:............................................................</v>
          </cell>
        </row>
        <row r="116">
          <cell r="Q116">
            <v>19300</v>
          </cell>
        </row>
      </sheetData>
      <sheetData sheetId="8">
        <row r="8">
          <cell r="Y8">
            <v>784183.33333333337</v>
          </cell>
        </row>
      </sheetData>
      <sheetData sheetId="9"/>
      <sheetData sheetId="10"/>
      <sheetData sheetId="11">
        <row r="115">
          <cell r="C115">
            <v>42855</v>
          </cell>
        </row>
      </sheetData>
      <sheetData sheetId="12">
        <row r="20">
          <cell r="B20" t="str">
            <v>STAFF SALARIES FOR FEBRUARY, 2017 (BANK SUMMARY)</v>
          </cell>
        </row>
      </sheetData>
      <sheetData sheetId="13">
        <row r="45">
          <cell r="E45">
            <v>2028338.604166667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1">
          <cell r="C21" t="str">
            <v>NAMES</v>
          </cell>
          <cell r="D21" t="str">
            <v>OLD ACCT NUMBERS</v>
          </cell>
          <cell r="E21" t="str">
            <v>NEW NUMBERS</v>
          </cell>
          <cell r="F21" t="str">
            <v>AMOUNT(N)</v>
          </cell>
        </row>
        <row r="22">
          <cell r="C22" t="str">
            <v>SIMEON ALAGBA</v>
          </cell>
          <cell r="D22" t="str">
            <v>0451060152900201</v>
          </cell>
          <cell r="E22" t="str">
            <v>0451024915</v>
          </cell>
          <cell r="F22">
            <v>32094.354166666668</v>
          </cell>
        </row>
        <row r="23">
          <cell r="C23" t="str">
            <v>FRANK OSEMEILU</v>
          </cell>
          <cell r="D23" t="str">
            <v>0451060150898601</v>
          </cell>
          <cell r="E23" t="str">
            <v>0451024441</v>
          </cell>
          <cell r="F23">
            <v>52094.354166666672</v>
          </cell>
        </row>
        <row r="24">
          <cell r="C24" t="str">
            <v>EMMANUEL OLUSEYI</v>
          </cell>
          <cell r="D24" t="str">
            <v>0451180213403901</v>
          </cell>
          <cell r="E24" t="str">
            <v>0451035036</v>
          </cell>
          <cell r="F24">
            <v>32094.354166666668</v>
          </cell>
        </row>
        <row r="25">
          <cell r="C25" t="str">
            <v>AZEEZ ADEOLA</v>
          </cell>
          <cell r="D25" t="str">
            <v>0451180228009301</v>
          </cell>
          <cell r="E25" t="str">
            <v>0451040337</v>
          </cell>
          <cell r="F25">
            <v>32094.354166666668</v>
          </cell>
        </row>
        <row r="26">
          <cell r="C26" t="str">
            <v>WAKU LAZARUS</v>
          </cell>
          <cell r="D26" t="str">
            <v>0451180228011901</v>
          </cell>
          <cell r="E26" t="str">
            <v>0451040351</v>
          </cell>
          <cell r="F26">
            <v>22094.354166666664</v>
          </cell>
        </row>
        <row r="27">
          <cell r="C27" t="str">
            <v>AMOS ZABE</v>
          </cell>
          <cell r="D27" t="str">
            <v>0451180236861901</v>
          </cell>
          <cell r="E27" t="str">
            <v>0451043015</v>
          </cell>
          <cell r="F27">
            <v>32094.354166666668</v>
          </cell>
        </row>
        <row r="28">
          <cell r="C28" t="str">
            <v>ALINETOR DANIEL</v>
          </cell>
          <cell r="D28" t="str">
            <v>0451180247316801</v>
          </cell>
          <cell r="E28" t="str">
            <v>0451059038</v>
          </cell>
          <cell r="F28">
            <v>32094.354166666668</v>
          </cell>
        </row>
        <row r="29">
          <cell r="C29" t="str">
            <v>JONATHAN JOHN</v>
          </cell>
          <cell r="D29" t="str">
            <v>0451073999</v>
          </cell>
          <cell r="E29" t="str">
            <v>0451073999</v>
          </cell>
          <cell r="F29">
            <v>32094.354166666668</v>
          </cell>
        </row>
        <row r="30">
          <cell r="C30" t="str">
            <v>SANUSI BABATUNDE  S.</v>
          </cell>
          <cell r="E30" t="str">
            <v>1501031727</v>
          </cell>
          <cell r="F30">
            <v>32094.354166666668</v>
          </cell>
        </row>
        <row r="31">
          <cell r="C31" t="str">
            <v>NWOKE OBASI</v>
          </cell>
          <cell r="E31" t="str">
            <v>1501031710</v>
          </cell>
          <cell r="F31">
            <v>32094.354166666668</v>
          </cell>
        </row>
        <row r="32">
          <cell r="C32" t="str">
            <v>BOLAJI LANRE OLAMIDE</v>
          </cell>
          <cell r="E32" t="str">
            <v>1501031844</v>
          </cell>
          <cell r="F32">
            <v>32094.354166666668</v>
          </cell>
        </row>
        <row r="33">
          <cell r="C33" t="str">
            <v>PHILLIP  LEBO</v>
          </cell>
          <cell r="D33" t="str">
            <v>0451060152826901</v>
          </cell>
          <cell r="E33" t="str">
            <v>0451024733</v>
          </cell>
          <cell r="F33">
            <v>104607.5</v>
          </cell>
        </row>
        <row r="34">
          <cell r="C34" t="str">
            <v>KAYODE ODUGBEMI</v>
          </cell>
          <cell r="D34" t="str">
            <v>0451050179377701</v>
          </cell>
          <cell r="E34" t="str">
            <v>0451015678</v>
          </cell>
          <cell r="F34">
            <v>62813.208333333336</v>
          </cell>
        </row>
        <row r="35">
          <cell r="C35" t="str">
            <v>ETIM EMMANUEL</v>
          </cell>
          <cell r="D35" t="str">
            <v>0451180217732601</v>
          </cell>
          <cell r="E35" t="str">
            <v>0451035964</v>
          </cell>
          <cell r="F35">
            <v>67111.770833333328</v>
          </cell>
        </row>
        <row r="36">
          <cell r="C36" t="str">
            <v>DORIS AKORO</v>
          </cell>
          <cell r="D36" t="str">
            <v>0451060152815201</v>
          </cell>
          <cell r="E36" t="str">
            <v>0451024726</v>
          </cell>
          <cell r="F36">
            <v>54216.083333333336</v>
          </cell>
        </row>
        <row r="37">
          <cell r="C37" t="str">
            <v>KALU EJITURU</v>
          </cell>
          <cell r="D37" t="str">
            <v>0451060152896301</v>
          </cell>
          <cell r="E37" t="str">
            <v>0451024795</v>
          </cell>
          <cell r="F37">
            <v>37608.401666666665</v>
          </cell>
        </row>
        <row r="38">
          <cell r="C38" t="str">
            <v>INU .I. OHIOMOYE</v>
          </cell>
          <cell r="D38" t="str">
            <v>0451180217734401</v>
          </cell>
          <cell r="E38" t="str">
            <v>0451035971</v>
          </cell>
          <cell r="F38">
            <v>13779.6875</v>
          </cell>
        </row>
        <row r="39">
          <cell r="C39" t="str">
            <v>OKELEKE FRANCIS C.</v>
          </cell>
          <cell r="D39" t="str">
            <v>0451180217735201</v>
          </cell>
          <cell r="E39" t="str">
            <v>0451035995</v>
          </cell>
          <cell r="F39">
            <v>23779.6875</v>
          </cell>
        </row>
        <row r="40">
          <cell r="C40" t="str">
            <v>ONYEKA N. MOSES</v>
          </cell>
          <cell r="D40" t="str">
            <v>0451060152897701</v>
          </cell>
          <cell r="E40" t="str">
            <v>0451024836</v>
          </cell>
          <cell r="F40">
            <v>19083.75</v>
          </cell>
        </row>
        <row r="41">
          <cell r="C41" t="str">
            <v>CHUKWUDI C. FRANCIS</v>
          </cell>
          <cell r="D41" t="str">
            <v>0451060152897901</v>
          </cell>
          <cell r="E41" t="str">
            <v>0451024843</v>
          </cell>
          <cell r="F41">
            <v>23779.6875</v>
          </cell>
        </row>
        <row r="42">
          <cell r="C42" t="str">
            <v>EVERASTUS ADOR</v>
          </cell>
          <cell r="D42" t="str">
            <v>0061092795</v>
          </cell>
          <cell r="E42" t="str">
            <v>0061092795</v>
          </cell>
          <cell r="F42">
            <v>3081.25</v>
          </cell>
        </row>
        <row r="43">
          <cell r="C43" t="str">
            <v>PATRICK OKOLIE</v>
          </cell>
          <cell r="D43" t="str">
            <v>0061093084</v>
          </cell>
          <cell r="E43" t="str">
            <v>0061093084</v>
          </cell>
          <cell r="F43">
            <v>23081.25</v>
          </cell>
        </row>
        <row r="44">
          <cell r="C44" t="str">
            <v>OLAMOYEGUN EZEKIEL OLAWOLE</v>
          </cell>
          <cell r="D44" t="str">
            <v>0061092348</v>
          </cell>
          <cell r="E44" t="str">
            <v>0061092348</v>
          </cell>
          <cell r="F44">
            <v>23081.25</v>
          </cell>
        </row>
        <row r="45">
          <cell r="C45" t="str">
            <v>ONORIODE ODJEGBA</v>
          </cell>
          <cell r="D45" t="str">
            <v>0451180213430401</v>
          </cell>
          <cell r="E45" t="str">
            <v>0451035098</v>
          </cell>
          <cell r="F45">
            <v>631513.33333333326</v>
          </cell>
        </row>
        <row r="46">
          <cell r="C46" t="str">
            <v>OFOMATA CHINWE</v>
          </cell>
          <cell r="D46" t="str">
            <v>0452013011</v>
          </cell>
          <cell r="E46" t="str">
            <v>0452013011</v>
          </cell>
          <cell r="F46">
            <v>286788.95833333331</v>
          </cell>
        </row>
        <row r="47">
          <cell r="C47" t="str">
            <v>CHINWE MUANYA</v>
          </cell>
          <cell r="D47" t="str">
            <v>0451180256179001</v>
          </cell>
          <cell r="E47" t="str">
            <v>0451070211</v>
          </cell>
          <cell r="F47">
            <v>178009.58333333334</v>
          </cell>
        </row>
        <row r="48">
          <cell r="C48" t="str">
            <v>CHIORI NNENNAYA</v>
          </cell>
          <cell r="D48" t="str">
            <v>0451010256155801</v>
          </cell>
          <cell r="E48" t="str">
            <v>0451070297</v>
          </cell>
          <cell r="F48">
            <v>129395.20833333334</v>
          </cell>
        </row>
        <row r="49">
          <cell r="C49" t="str">
            <v>NNAMDI OJE UTI</v>
          </cell>
          <cell r="E49">
            <v>2402007231</v>
          </cell>
          <cell r="F49">
            <v>363340.83333333337</v>
          </cell>
        </row>
        <row r="51">
          <cell r="F51">
            <v>2408109.3391666664</v>
          </cell>
        </row>
        <row r="63">
          <cell r="C63" t="str">
            <v xml:space="preserve">     </v>
          </cell>
        </row>
        <row r="70">
          <cell r="C70" t="str">
            <v xml:space="preserve"> </v>
          </cell>
        </row>
        <row r="79">
          <cell r="C79" t="str">
            <v>NAMES</v>
          </cell>
          <cell r="D79" t="str">
            <v>OLD ACCT NUMBERS</v>
          </cell>
          <cell r="E79" t="str">
            <v>ACCT NUMBERS</v>
          </cell>
          <cell r="F79" t="str">
            <v>AMOUNT(N)</v>
          </cell>
        </row>
        <row r="80">
          <cell r="C80" t="str">
            <v>AJAYI AKINOLA</v>
          </cell>
          <cell r="D80" t="str">
            <v>0452012351</v>
          </cell>
          <cell r="E80" t="str">
            <v>0452012351</v>
          </cell>
          <cell r="F80">
            <v>90496.4375</v>
          </cell>
        </row>
        <row r="81">
          <cell r="C81" t="str">
            <v>ODILI JAMES</v>
          </cell>
          <cell r="D81" t="str">
            <v>0451035232</v>
          </cell>
          <cell r="E81" t="str">
            <v>0451035232</v>
          </cell>
          <cell r="F81">
            <v>115645.36874999999</v>
          </cell>
        </row>
        <row r="82">
          <cell r="C82" t="str">
            <v>SANNI FLORENCE</v>
          </cell>
          <cell r="D82" t="str">
            <v>0451180222666801</v>
          </cell>
          <cell r="E82" t="str">
            <v>0451180222666801</v>
          </cell>
          <cell r="F82">
            <v>61410.333333333336</v>
          </cell>
        </row>
        <row r="83">
          <cell r="C83" t="str">
            <v>ROTIMI VAUGHAN</v>
          </cell>
          <cell r="D83" t="str">
            <v>0641030164</v>
          </cell>
          <cell r="E83" t="str">
            <v>0641030164</v>
          </cell>
          <cell r="F83">
            <v>75306.875</v>
          </cell>
        </row>
        <row r="84">
          <cell r="C84" t="str">
            <v>WAHAB SALIU</v>
          </cell>
          <cell r="D84" t="str">
            <v>0451060161495401</v>
          </cell>
          <cell r="E84" t="str">
            <v>0451025101</v>
          </cell>
          <cell r="F84">
            <v>62813.208333333336</v>
          </cell>
        </row>
        <row r="85">
          <cell r="C85" t="str">
            <v>BERNARD FADAYOMI</v>
          </cell>
          <cell r="D85" t="str">
            <v>0451060150919601</v>
          </cell>
          <cell r="E85" t="str">
            <v>0451024513</v>
          </cell>
          <cell r="F85">
            <v>54216.083333333336</v>
          </cell>
        </row>
        <row r="86">
          <cell r="C86" t="str">
            <v>ADESANYA SURAKATT</v>
          </cell>
          <cell r="D86" t="str">
            <v>0451024427</v>
          </cell>
          <cell r="E86" t="str">
            <v>0451024427</v>
          </cell>
          <cell r="F86">
            <v>40987.979166666664</v>
          </cell>
        </row>
        <row r="87">
          <cell r="C87" t="str">
            <v>CHIDI SOLOMON</v>
          </cell>
          <cell r="D87" t="str">
            <v>0451038903</v>
          </cell>
          <cell r="E87" t="str">
            <v>0451038903</v>
          </cell>
          <cell r="F87">
            <v>40987.979166666664</v>
          </cell>
        </row>
        <row r="88">
          <cell r="C88" t="str">
            <v>FATAI TIRIMISIYU</v>
          </cell>
          <cell r="D88" t="str">
            <v>0451038910</v>
          </cell>
          <cell r="E88" t="str">
            <v>0451038910</v>
          </cell>
          <cell r="F88">
            <v>40987.979166666664</v>
          </cell>
        </row>
        <row r="89">
          <cell r="C89" t="str">
            <v>DAVID EMEKA OHAI</v>
          </cell>
          <cell r="D89" t="str">
            <v>0451024489</v>
          </cell>
          <cell r="E89" t="str">
            <v>0451024489</v>
          </cell>
          <cell r="F89">
            <v>45434.791666666664</v>
          </cell>
        </row>
        <row r="90">
          <cell r="C90" t="str">
            <v>CHRISTIAN EZENWERE</v>
          </cell>
          <cell r="D90" t="str">
            <v>0451180213402501</v>
          </cell>
          <cell r="E90" t="str">
            <v>0451035029</v>
          </cell>
          <cell r="F90">
            <v>32094.354166666668</v>
          </cell>
        </row>
        <row r="91">
          <cell r="C91" t="str">
            <v>OLAWALE AIYEKOBINU</v>
          </cell>
          <cell r="E91" t="str">
            <v>1501032023</v>
          </cell>
          <cell r="F91">
            <v>163494.87903225806</v>
          </cell>
        </row>
        <row r="92">
          <cell r="C92" t="str">
            <v>ODUPE STEPHEN TOLULOPE</v>
          </cell>
          <cell r="E92" t="str">
            <v>1503005137</v>
          </cell>
          <cell r="F92">
            <v>208730.20833333331</v>
          </cell>
        </row>
        <row r="93">
          <cell r="C93" t="str">
            <v>EJIOFOR CHIAMAKA</v>
          </cell>
          <cell r="E93">
            <v>2351216586</v>
          </cell>
          <cell r="F93">
            <v>32813.208333333336</v>
          </cell>
        </row>
        <row r="94">
          <cell r="C94" t="str">
            <v>IKHINE GODDY</v>
          </cell>
          <cell r="E94">
            <v>1503005247</v>
          </cell>
          <cell r="F94">
            <v>161105.25</v>
          </cell>
        </row>
        <row r="95">
          <cell r="C95" t="str">
            <v>AKHABUE BRIGHT</v>
          </cell>
          <cell r="E95">
            <v>1503005254</v>
          </cell>
          <cell r="F95">
            <v>27647.541666666668</v>
          </cell>
        </row>
        <row r="96">
          <cell r="C96" t="str">
            <v>BELLO FALILU</v>
          </cell>
          <cell r="E96" t="str">
            <v>0193005612</v>
          </cell>
          <cell r="F96">
            <v>27647.541666666668</v>
          </cell>
        </row>
        <row r="97">
          <cell r="C97" t="str">
            <v>INYANG SUNDAY JAMES</v>
          </cell>
          <cell r="E97" t="str">
            <v>0463004170</v>
          </cell>
          <cell r="F97">
            <v>27647.541666666668</v>
          </cell>
        </row>
        <row r="98">
          <cell r="C98" t="str">
            <v>NWACHUKWU TIMOTHY OGU</v>
          </cell>
          <cell r="E98">
            <v>4413059960</v>
          </cell>
          <cell r="F98">
            <v>26647.541666666668</v>
          </cell>
        </row>
        <row r="99">
          <cell r="C99" t="str">
            <v>IPADEOLA JOHNSON OLANIYI</v>
          </cell>
          <cell r="E99">
            <v>2631002281</v>
          </cell>
          <cell r="F99">
            <v>26647.541666666668</v>
          </cell>
        </row>
        <row r="100">
          <cell r="C100" t="str">
            <v>ABIMBOLA O. OJOSIPE</v>
          </cell>
          <cell r="E100">
            <v>1503059910</v>
          </cell>
          <cell r="F100">
            <v>195730.20833333331</v>
          </cell>
        </row>
        <row r="101">
          <cell r="C101" t="str">
            <v>NSE-ABASI EBONG</v>
          </cell>
          <cell r="E101">
            <v>3273060073</v>
          </cell>
          <cell r="F101">
            <v>36541.166666666664</v>
          </cell>
        </row>
        <row r="102">
          <cell r="C102" t="str">
            <v>PETER EMEKA I</v>
          </cell>
          <cell r="E102">
            <v>1503060062</v>
          </cell>
          <cell r="F102">
            <v>26647.541666666668</v>
          </cell>
        </row>
        <row r="103">
          <cell r="C103" t="str">
            <v>OCHE EMMANUEL OKPE</v>
          </cell>
          <cell r="E103" t="str">
            <v>0463060868</v>
          </cell>
          <cell r="F103">
            <v>26647.541666666668</v>
          </cell>
        </row>
        <row r="104">
          <cell r="C104" t="str">
            <v>OJEIFO STANLEY</v>
          </cell>
          <cell r="E104" t="str">
            <v>3323062381</v>
          </cell>
          <cell r="F104">
            <v>26647.541666666668</v>
          </cell>
        </row>
        <row r="105">
          <cell r="C105" t="str">
            <v xml:space="preserve">NWAUCHE  ERASTUS  </v>
          </cell>
          <cell r="E105" t="str">
            <v>0451000061</v>
          </cell>
          <cell r="F105">
            <v>295537.62708333333</v>
          </cell>
        </row>
        <row r="108">
          <cell r="D108" t="str">
            <v>GRAND TOTAL</v>
          </cell>
          <cell r="F108">
            <v>1970514.270698925</v>
          </cell>
        </row>
        <row r="121">
          <cell r="C121" t="str">
            <v>Name</v>
          </cell>
          <cell r="D121">
            <v>41640</v>
          </cell>
          <cell r="E121" t="str">
            <v>January, 17</v>
          </cell>
          <cell r="F121" t="str">
            <v>Amount</v>
          </cell>
        </row>
        <row r="122">
          <cell r="F122" t="str">
            <v>=N=</v>
          </cell>
        </row>
        <row r="123">
          <cell r="C123" t="str">
            <v>Monday Udoh</v>
          </cell>
          <cell r="E123" t="str">
            <v>Garderner (Domestic)</v>
          </cell>
          <cell r="F123">
            <v>30000</v>
          </cell>
        </row>
        <row r="124">
          <cell r="C124" t="str">
            <v xml:space="preserve">Gambo </v>
          </cell>
          <cell r="E124" t="str">
            <v>Security - Awoyaya</v>
          </cell>
          <cell r="F124">
            <v>15000</v>
          </cell>
        </row>
        <row r="125">
          <cell r="C125" t="str">
            <v>OLUGBEJE BENSON OYEBANJI (3323061803)</v>
          </cell>
          <cell r="E125" t="str">
            <v>Clearner Depot</v>
          </cell>
          <cell r="F125">
            <v>20000</v>
          </cell>
        </row>
        <row r="126">
          <cell r="C126" t="str">
            <v>Joseph</v>
          </cell>
          <cell r="E126" t="str">
            <v>Bourdillon Chef</v>
          </cell>
          <cell r="F126">
            <v>40000</v>
          </cell>
        </row>
        <row r="127">
          <cell r="C127" t="str">
            <v xml:space="preserve">Asaba (Domestic Staff 1) - </v>
          </cell>
          <cell r="E127" t="str">
            <v>Domestic Staff 1</v>
          </cell>
          <cell r="F127">
            <v>20000</v>
          </cell>
        </row>
        <row r="128">
          <cell r="C128" t="str">
            <v xml:space="preserve">Asaba (Domestic Staff 11) - </v>
          </cell>
          <cell r="E128" t="str">
            <v>Domestic Staff 11</v>
          </cell>
          <cell r="F128">
            <v>10000</v>
          </cell>
        </row>
        <row r="129">
          <cell r="C129" t="str">
            <v>DAVID IBHADE EKPEN - Abuja Staff</v>
          </cell>
          <cell r="E129" t="str">
            <v>Clearner Abuja</v>
          </cell>
          <cell r="F129">
            <v>10322.58064516129</v>
          </cell>
        </row>
        <row r="131">
          <cell r="E131" t="str">
            <v>GRAND TOTAL</v>
          </cell>
          <cell r="F131">
            <v>145322.5806451613</v>
          </cell>
        </row>
        <row r="141">
          <cell r="E141" t="str">
            <v>EOCS LTD</v>
          </cell>
        </row>
        <row r="142">
          <cell r="E142">
            <v>4398623.6098655909</v>
          </cell>
          <cell r="F142" t="str">
            <v>MASTER</v>
          </cell>
        </row>
        <row r="143">
          <cell r="E143">
            <v>4523946.1905107526</v>
          </cell>
          <cell r="F143" t="str">
            <v>BANK SCHEDULE</v>
          </cell>
        </row>
        <row r="144">
          <cell r="E144">
            <v>-125322.58064516168</v>
          </cell>
          <cell r="F144" t="str">
            <v>DIFF</v>
          </cell>
        </row>
        <row r="146">
          <cell r="E146" t="str">
            <v>Total Net Salary EOCS &amp; EEL</v>
          </cell>
        </row>
        <row r="147">
          <cell r="E147">
            <v>4523946.1905107526</v>
          </cell>
          <cell r="F147" t="str">
            <v>EOCS</v>
          </cell>
        </row>
        <row r="148">
          <cell r="E148">
            <v>2009338.604166667</v>
          </cell>
          <cell r="F148" t="str">
            <v>EEL</v>
          </cell>
        </row>
        <row r="149">
          <cell r="E149">
            <v>6533284.7946774196</v>
          </cell>
        </row>
        <row r="150">
          <cell r="F150" t="str">
            <v>DESEYE DONA FOH</v>
          </cell>
        </row>
        <row r="151">
          <cell r="E151">
            <v>6533284.7946774196</v>
          </cell>
          <cell r="F151" t="str">
            <v>TOTAL NET PAY</v>
          </cell>
        </row>
        <row r="153">
          <cell r="E153">
            <v>6418284.7946774196</v>
          </cell>
          <cell r="F153" t="str">
            <v>TOTAL SCHEDULE</v>
          </cell>
        </row>
        <row r="155">
          <cell r="E155">
            <v>115000</v>
          </cell>
        </row>
      </sheetData>
      <sheetData sheetId="24">
        <row r="14">
          <cell r="D14" t="str">
            <v xml:space="preserve"> </v>
          </cell>
        </row>
        <row r="24">
          <cell r="C24" t="str">
            <v>NAMES</v>
          </cell>
          <cell r="D24" t="str">
            <v>ACCOUNT NUMBERS</v>
          </cell>
          <cell r="E24" t="str">
            <v>AMOUNT(N)</v>
          </cell>
        </row>
        <row r="25">
          <cell r="C25" t="str">
            <v>SUBERU HEATHER CIWEKU</v>
          </cell>
          <cell r="D25" t="str">
            <v>1502002823</v>
          </cell>
          <cell r="E25">
            <v>784183.33333333337</v>
          </cell>
        </row>
        <row r="26">
          <cell r="C26" t="str">
            <v>MAIMUNA ACHIMUGU</v>
          </cell>
          <cell r="D26" t="str">
            <v>0451026294</v>
          </cell>
          <cell r="E26">
            <v>208730.20833333331</v>
          </cell>
        </row>
        <row r="27">
          <cell r="C27" t="str">
            <v>HENRY OMOREGIE</v>
          </cell>
          <cell r="D27" t="str">
            <v>0121100868</v>
          </cell>
          <cell r="E27">
            <v>104607.5</v>
          </cell>
        </row>
        <row r="28">
          <cell r="C28" t="str">
            <v>EGBADON GODSWILL</v>
          </cell>
          <cell r="D28" t="str">
            <v>0121100844</v>
          </cell>
          <cell r="E28">
            <v>88006.25</v>
          </cell>
        </row>
        <row r="29">
          <cell r="C29" t="str">
            <v>TIJANI TAIWO</v>
          </cell>
          <cell r="D29">
            <v>4291171912</v>
          </cell>
          <cell r="E29">
            <v>103607.5</v>
          </cell>
        </row>
        <row r="30">
          <cell r="C30" t="str">
            <v>VIVIAN TARUAYEN</v>
          </cell>
          <cell r="D30" t="str">
            <v>0121100875</v>
          </cell>
          <cell r="E30">
            <v>71410.333333333328</v>
          </cell>
        </row>
        <row r="31">
          <cell r="C31" t="str">
            <v>IBRAHIM MUSA</v>
          </cell>
          <cell r="D31" t="str">
            <v>0451035366</v>
          </cell>
          <cell r="E31">
            <v>45434.791666666664</v>
          </cell>
        </row>
        <row r="32">
          <cell r="C32" t="str">
            <v>TUNDE LAWAL</v>
          </cell>
          <cell r="D32" t="str">
            <v>0122122942</v>
          </cell>
          <cell r="E32">
            <v>40987.979166666664</v>
          </cell>
        </row>
        <row r="33">
          <cell r="C33" t="str">
            <v>ABUBAKAR S. TANKO</v>
          </cell>
          <cell r="D33" t="str">
            <v>0122152280</v>
          </cell>
          <cell r="E33">
            <v>35000</v>
          </cell>
        </row>
        <row r="34">
          <cell r="C34" t="str">
            <v>ANYAMKPA MAURICE</v>
          </cell>
          <cell r="D34" t="str">
            <v>0129602739</v>
          </cell>
          <cell r="E34">
            <v>35000</v>
          </cell>
        </row>
        <row r="35">
          <cell r="C35" t="str">
            <v>DADA ENEHEZEYI AUGUSTINA</v>
          </cell>
          <cell r="D35" t="str">
            <v>0121209819</v>
          </cell>
          <cell r="E35">
            <v>23081.25</v>
          </cell>
        </row>
        <row r="36">
          <cell r="C36" t="str">
            <v>LAWAL NOAH OLUSEGUN</v>
          </cell>
          <cell r="D36" t="str">
            <v>0129621279</v>
          </cell>
          <cell r="E36">
            <v>287288.95833333331</v>
          </cell>
        </row>
        <row r="37">
          <cell r="C37" t="str">
            <v>NWIGWE SUNDAY E.</v>
          </cell>
          <cell r="D37">
            <v>5393012365</v>
          </cell>
          <cell r="E37">
            <v>27647.541666666668</v>
          </cell>
        </row>
        <row r="38">
          <cell r="C38" t="str">
            <v>OKOEGA PATRICK N.</v>
          </cell>
          <cell r="D38">
            <v>5393012523</v>
          </cell>
          <cell r="E38">
            <v>27647.541666666668</v>
          </cell>
        </row>
        <row r="39">
          <cell r="C39" t="str">
            <v>EGEDE CHUKWUDI</v>
          </cell>
          <cell r="D39">
            <v>5393012468</v>
          </cell>
          <cell r="E39">
            <v>27647.541666666668</v>
          </cell>
        </row>
        <row r="40">
          <cell r="C40" t="str">
            <v>OSHINE COLLINS CHIKA</v>
          </cell>
          <cell r="D40" t="str">
            <v>0503017973</v>
          </cell>
          <cell r="E40">
            <v>27647.541666666668</v>
          </cell>
        </row>
        <row r="41">
          <cell r="C41" t="str">
            <v>OKAFOR CHRISTOPHER C.</v>
          </cell>
          <cell r="D41">
            <v>2921181625</v>
          </cell>
          <cell r="E41">
            <v>71410.333333333328</v>
          </cell>
        </row>
        <row r="43">
          <cell r="D43" t="str">
            <v>GRAND TOTAL</v>
          </cell>
          <cell r="E43">
            <v>2009338.604166667</v>
          </cell>
        </row>
        <row r="50">
          <cell r="C50" t="str">
            <v>AUTHORIZED SIGNATORY</v>
          </cell>
        </row>
        <row r="54">
          <cell r="D54">
            <v>42368</v>
          </cell>
          <cell r="E54" t="str">
            <v>Amount</v>
          </cell>
        </row>
        <row r="55">
          <cell r="C55" t="str">
            <v>Name</v>
          </cell>
          <cell r="E55" t="str">
            <v>=N=</v>
          </cell>
        </row>
        <row r="62">
          <cell r="D62" t="str">
            <v>GRAND TOTAL</v>
          </cell>
          <cell r="E62">
            <v>0</v>
          </cell>
        </row>
      </sheetData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E COMPUTATION"/>
      <sheetName val="GRADUATED TAX RATE"/>
      <sheetName val="BANK SCHEDULE - EOCS Jun 2016"/>
      <sheetName val="BANK SCHEDULE- EEL Jun 2016"/>
      <sheetName val="BANK SCHEDULE- NOLY Jun 2016"/>
      <sheetName val="MASTER FILE- EOCSL"/>
      <sheetName val="MASTER FILE- EEL "/>
      <sheetName val="MASTER FILE- Noly "/>
      <sheetName val="MASTER FILE- Smart Grid"/>
      <sheetName val="BANK SCHEDULE - EOSC "/>
      <sheetName val="BANK SCHEDULE- EEL"/>
      <sheetName val="BANK SCHEDULE- Smart Grid"/>
      <sheetName val="BANK SCHEDULE- NOLY"/>
      <sheetName val="Comparizm"/>
      <sheetName val="Comparizm- EEL July 16"/>
      <sheetName val="Comparizm- NOLY July 16"/>
      <sheetName val=" PAYSLIPS Abuja"/>
      <sheetName val=" PAYSLIPS Depot"/>
      <sheetName val="PAYSLIPS Security"/>
      <sheetName val="PAYSLIPS Head Office"/>
      <sheetName val="Journal Entry"/>
      <sheetName val="Sheet1"/>
    </sheetNames>
    <sheetDataSet>
      <sheetData sheetId="0"/>
      <sheetData sheetId="1"/>
      <sheetData sheetId="2"/>
      <sheetData sheetId="3">
        <row r="14">
          <cell r="D14" t="str">
            <v xml:space="preserve"> </v>
          </cell>
        </row>
        <row r="24">
          <cell r="C24" t="str">
            <v>NAMES</v>
          </cell>
          <cell r="D24" t="str">
            <v>ACCOUNT NUMBERS</v>
          </cell>
          <cell r="E24" t="str">
            <v>AMOUNT(N)</v>
          </cell>
        </row>
        <row r="25">
          <cell r="C25" t="str">
            <v>SUBERU HEATHER CIWEKU</v>
          </cell>
          <cell r="D25" t="str">
            <v>1502002823</v>
          </cell>
          <cell r="E25">
            <v>784183.33333333337</v>
          </cell>
        </row>
        <row r="26">
          <cell r="C26" t="str">
            <v>MAIMUNA ACHIMUGU</v>
          </cell>
          <cell r="D26" t="str">
            <v>0451026294</v>
          </cell>
          <cell r="E26">
            <v>207730.20833333331</v>
          </cell>
        </row>
        <row r="27">
          <cell r="C27" t="str">
            <v>HENRY OMOREGIE</v>
          </cell>
          <cell r="D27" t="str">
            <v>0121100868</v>
          </cell>
          <cell r="E27">
            <v>104607.5</v>
          </cell>
        </row>
        <row r="28">
          <cell r="C28" t="str">
            <v>EGBADON GODSWILL</v>
          </cell>
          <cell r="D28" t="str">
            <v>0121100844</v>
          </cell>
          <cell r="E28">
            <v>87506.25</v>
          </cell>
        </row>
        <row r="29">
          <cell r="C29" t="str">
            <v>TIJANI TAIWO</v>
          </cell>
          <cell r="D29">
            <v>4291171912</v>
          </cell>
          <cell r="E29">
            <v>103107.5</v>
          </cell>
        </row>
        <row r="30">
          <cell r="C30" t="str">
            <v>VIVIAN TARUAYEN</v>
          </cell>
          <cell r="D30" t="str">
            <v>0121100875</v>
          </cell>
          <cell r="E30">
            <v>70910.333333333328</v>
          </cell>
        </row>
        <row r="31">
          <cell r="C31" t="str">
            <v>PROMISE O. JOHN</v>
          </cell>
          <cell r="D31" t="str">
            <v>0122134792</v>
          </cell>
          <cell r="E31">
            <v>71410.333333333328</v>
          </cell>
        </row>
        <row r="32">
          <cell r="C32" t="str">
            <v>IBRAHIM MUSA</v>
          </cell>
          <cell r="D32" t="str">
            <v>0451035366</v>
          </cell>
          <cell r="E32">
            <v>43920.298611111109</v>
          </cell>
        </row>
        <row r="33">
          <cell r="C33" t="str">
            <v>TUNDE LAWAL</v>
          </cell>
          <cell r="D33" t="str">
            <v>0122122942</v>
          </cell>
          <cell r="E33">
            <v>40987.979166666664</v>
          </cell>
        </row>
        <row r="34">
          <cell r="C34" t="str">
            <v>ABUBAKAR S. TANKO</v>
          </cell>
          <cell r="D34" t="str">
            <v>0122152280</v>
          </cell>
          <cell r="E34">
            <v>35000</v>
          </cell>
        </row>
        <row r="35">
          <cell r="C35" t="str">
            <v>ANYAMKPA MAURICE</v>
          </cell>
          <cell r="D35" t="str">
            <v>0129602739</v>
          </cell>
          <cell r="E35">
            <v>35000</v>
          </cell>
        </row>
        <row r="36">
          <cell r="C36" t="str">
            <v>ISAAC OLUWA J.</v>
          </cell>
          <cell r="D36" t="str">
            <v>0129602722</v>
          </cell>
          <cell r="E36">
            <v>35000</v>
          </cell>
        </row>
        <row r="37">
          <cell r="C37" t="str">
            <v>DADA ENEHEZEYI AUGUSTINA</v>
          </cell>
          <cell r="D37" t="str">
            <v>0121209819</v>
          </cell>
          <cell r="E37">
            <v>23081.25</v>
          </cell>
        </row>
        <row r="38">
          <cell r="C38" t="str">
            <v>LAWAL NOAH OLUSEGUN</v>
          </cell>
          <cell r="D38" t="str">
            <v>0129621279</v>
          </cell>
          <cell r="E38">
            <v>286288.95833333331</v>
          </cell>
        </row>
        <row r="39">
          <cell r="C39" t="str">
            <v>AHAMED OHAJA AZIM</v>
          </cell>
          <cell r="D39" t="str">
            <v>0129627439</v>
          </cell>
          <cell r="E39">
            <v>18425</v>
          </cell>
        </row>
        <row r="40">
          <cell r="C40" t="str">
            <v>NWIGWE SUNDAY E.</v>
          </cell>
          <cell r="D40">
            <v>5393012365</v>
          </cell>
          <cell r="E40">
            <v>27647.541666666668</v>
          </cell>
        </row>
        <row r="41">
          <cell r="C41" t="str">
            <v>OKOEGA PATRICK N.</v>
          </cell>
          <cell r="D41">
            <v>5393012523</v>
          </cell>
          <cell r="E41">
            <v>27647.541666666668</v>
          </cell>
        </row>
        <row r="42">
          <cell r="C42" t="str">
            <v>EGEDE CHUKWUDI</v>
          </cell>
          <cell r="D42">
            <v>5393012468</v>
          </cell>
          <cell r="E42">
            <v>27647.541666666668</v>
          </cell>
        </row>
        <row r="43">
          <cell r="C43" t="str">
            <v>OSHINE COLLINS CHIKA</v>
          </cell>
          <cell r="D43" t="str">
            <v>0503017973</v>
          </cell>
          <cell r="E43">
            <v>27647.541666666668</v>
          </cell>
        </row>
        <row r="44">
          <cell r="C44" t="str">
            <v>OKAFOR CHRISTOPHER C.</v>
          </cell>
          <cell r="D44">
            <v>2921181625</v>
          </cell>
          <cell r="E44">
            <v>70910.333333333328</v>
          </cell>
        </row>
        <row r="45">
          <cell r="C45" t="str">
            <v>ABIODUN OLUWAMAYOWA O.</v>
          </cell>
          <cell r="D45" t="str">
            <v>0129634992</v>
          </cell>
          <cell r="E45">
            <v>62313.208333333336</v>
          </cell>
        </row>
        <row r="47">
          <cell r="D47" t="str">
            <v>GRAND TOTAL</v>
          </cell>
          <cell r="E47">
            <v>2190972.652777778</v>
          </cell>
        </row>
        <row r="49">
          <cell r="G49" t="str">
            <v>Net Pays</v>
          </cell>
        </row>
        <row r="50">
          <cell r="G50">
            <v>2130597.676472222</v>
          </cell>
        </row>
        <row r="51">
          <cell r="G51">
            <v>2528446.3451388888</v>
          </cell>
        </row>
        <row r="52">
          <cell r="G52">
            <v>143295.08333333334</v>
          </cell>
        </row>
        <row r="53">
          <cell r="G53">
            <v>2190972.652777778</v>
          </cell>
        </row>
        <row r="54">
          <cell r="C54" t="str">
            <v>AUTHORIZED SIGNATORY</v>
          </cell>
          <cell r="G54">
            <v>0</v>
          </cell>
        </row>
        <row r="55">
          <cell r="G55">
            <v>6993311.7577222222</v>
          </cell>
        </row>
        <row r="58">
          <cell r="D58">
            <v>42368</v>
          </cell>
          <cell r="E58" t="str">
            <v>Amount</v>
          </cell>
        </row>
        <row r="59">
          <cell r="C59" t="str">
            <v>Name</v>
          </cell>
          <cell r="E59" t="str">
            <v>=N=</v>
          </cell>
        </row>
        <row r="60">
          <cell r="F60" t="str">
            <v>Awaiting Approval from GEVC</v>
          </cell>
        </row>
        <row r="66">
          <cell r="D66" t="str">
            <v>GRAND TOTAL</v>
          </cell>
          <cell r="E66">
            <v>0</v>
          </cell>
        </row>
        <row r="72">
          <cell r="F72" t="e">
            <v>#REF!</v>
          </cell>
          <cell r="G72" t="str">
            <v>BANK SUMMARY</v>
          </cell>
        </row>
        <row r="73">
          <cell r="F73" t="e">
            <v>#REF!</v>
          </cell>
          <cell r="G73" t="str">
            <v>MASTER LIST</v>
          </cell>
        </row>
        <row r="74">
          <cell r="F74" t="e">
            <v>#REF!</v>
          </cell>
          <cell r="G74" t="str">
            <v>Liu &amp; Sanni</v>
          </cell>
        </row>
      </sheetData>
      <sheetData sheetId="4"/>
      <sheetData sheetId="5">
        <row r="7">
          <cell r="Y7">
            <v>134457.70833333334</v>
          </cell>
        </row>
      </sheetData>
      <sheetData sheetId="6">
        <row r="8">
          <cell r="Y8">
            <v>784183.33333333337</v>
          </cell>
        </row>
      </sheetData>
      <sheetData sheetId="7">
        <row r="7">
          <cell r="Y7">
            <v>247509.58333333334</v>
          </cell>
        </row>
      </sheetData>
      <sheetData sheetId="8">
        <row r="7">
          <cell r="Y7">
            <v>210209.22833333333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topLeftCell="A7" workbookViewId="0">
      <selection activeCell="D34" sqref="D34"/>
    </sheetView>
  </sheetViews>
  <sheetFormatPr defaultRowHeight="15" x14ac:dyDescent="0.25"/>
  <cols>
    <col min="1" max="1" width="35" bestFit="1" customWidth="1"/>
    <col min="2" max="3" width="13.28515625" bestFit="1" customWidth="1"/>
    <col min="4" max="4" width="21.7109375" customWidth="1"/>
    <col min="5" max="5" width="14.42578125" style="149" customWidth="1"/>
    <col min="6" max="6" width="13.28515625" style="149" bestFit="1" customWidth="1"/>
    <col min="7" max="7" width="13.28515625" bestFit="1" customWidth="1"/>
  </cols>
  <sheetData>
    <row r="1" spans="1:5" x14ac:dyDescent="0.25">
      <c r="A1" t="s">
        <v>208</v>
      </c>
    </row>
    <row r="2" spans="1:5" x14ac:dyDescent="0.25">
      <c r="A2" t="s">
        <v>209</v>
      </c>
    </row>
    <row r="3" spans="1:5" x14ac:dyDescent="0.25">
      <c r="D3" t="s">
        <v>14</v>
      </c>
      <c r="E3" s="149">
        <v>873129.75</v>
      </c>
    </row>
    <row r="4" spans="1:5" x14ac:dyDescent="0.25">
      <c r="D4" t="s">
        <v>15</v>
      </c>
      <c r="E4" s="149">
        <v>873129.75</v>
      </c>
    </row>
    <row r="5" spans="1:5" x14ac:dyDescent="0.25">
      <c r="D5" t="s">
        <v>16</v>
      </c>
      <c r="E5" s="149">
        <v>873129.75</v>
      </c>
    </row>
    <row r="6" spans="1:5" x14ac:dyDescent="0.25">
      <c r="D6" t="s">
        <v>17</v>
      </c>
      <c r="E6" s="149">
        <v>582086.5</v>
      </c>
    </row>
    <row r="7" spans="1:5" x14ac:dyDescent="0.25">
      <c r="D7" t="s">
        <v>18</v>
      </c>
      <c r="E7" s="149">
        <v>582086.5</v>
      </c>
    </row>
    <row r="8" spans="1:5" x14ac:dyDescent="0.25">
      <c r="D8" t="s">
        <v>19</v>
      </c>
      <c r="E8" s="149">
        <v>582086.5</v>
      </c>
    </row>
    <row r="9" spans="1:5" x14ac:dyDescent="0.25">
      <c r="D9" t="s">
        <v>20</v>
      </c>
      <c r="E9" s="149">
        <v>582086.5</v>
      </c>
    </row>
    <row r="10" spans="1:5" x14ac:dyDescent="0.25">
      <c r="D10" t="s">
        <v>21</v>
      </c>
      <c r="E10" s="149">
        <v>291043.25</v>
      </c>
    </row>
    <row r="11" spans="1:5" x14ac:dyDescent="0.25">
      <c r="D11" t="s">
        <v>22</v>
      </c>
      <c r="E11" s="149">
        <v>291043.25</v>
      </c>
    </row>
    <row r="12" spans="1:5" x14ac:dyDescent="0.25">
      <c r="E12" s="149">
        <v>72760.8125</v>
      </c>
    </row>
    <row r="13" spans="1:5" ht="15.75" thickBot="1" x14ac:dyDescent="0.3">
      <c r="D13" t="s">
        <v>23</v>
      </c>
      <c r="E13" s="149">
        <v>291043.25</v>
      </c>
    </row>
    <row r="14" spans="1:5" ht="15.75" thickBot="1" x14ac:dyDescent="0.3">
      <c r="D14" s="152" t="s">
        <v>193</v>
      </c>
      <c r="E14" s="153">
        <f>SUM(E3:E13)</f>
        <v>5893625.8125</v>
      </c>
    </row>
    <row r="15" spans="1:5" ht="15.75" thickTop="1" x14ac:dyDescent="0.25">
      <c r="D15" s="19"/>
      <c r="E15" s="181"/>
    </row>
    <row r="17" spans="1:7" x14ac:dyDescent="0.25">
      <c r="D17" s="19"/>
      <c r="E17" s="181"/>
    </row>
    <row r="18" spans="1:7" x14ac:dyDescent="0.25">
      <c r="A18" t="s">
        <v>197</v>
      </c>
    </row>
    <row r="19" spans="1:7" x14ac:dyDescent="0.25">
      <c r="A19" t="s">
        <v>3</v>
      </c>
    </row>
    <row r="20" spans="1:7" x14ac:dyDescent="0.25">
      <c r="A20" t="s">
        <v>194</v>
      </c>
      <c r="B20" s="149">
        <f>IF(200000&gt;1%*E14,200000,1%*E14)</f>
        <v>200000</v>
      </c>
    </row>
    <row r="21" spans="1:7" x14ac:dyDescent="0.25">
      <c r="A21" t="s">
        <v>195</v>
      </c>
      <c r="B21" s="179">
        <f>0.2*E14</f>
        <v>1178725.1625000001</v>
      </c>
    </row>
    <row r="22" spans="1:7" x14ac:dyDescent="0.25">
      <c r="A22" t="s">
        <v>3</v>
      </c>
      <c r="C22" s="179">
        <f>B20+B21</f>
        <v>1378725.1625000001</v>
      </c>
    </row>
    <row r="23" spans="1:7" x14ac:dyDescent="0.25">
      <c r="A23" t="s">
        <v>196</v>
      </c>
      <c r="C23" s="179">
        <f>8%* (E3+E4+E5)</f>
        <v>209551.14</v>
      </c>
    </row>
    <row r="24" spans="1:7" x14ac:dyDescent="0.25">
      <c r="A24" t="s">
        <v>198</v>
      </c>
    </row>
    <row r="25" spans="1:7" x14ac:dyDescent="0.25">
      <c r="A25" t="s">
        <v>210</v>
      </c>
      <c r="E25" s="149">
        <f>SUM(C20:C25)</f>
        <v>1588276.3025000002</v>
      </c>
    </row>
    <row r="26" spans="1:7" x14ac:dyDescent="0.25">
      <c r="A26" t="s">
        <v>9</v>
      </c>
      <c r="E26" s="149">
        <f>E14-E25</f>
        <v>4305349.51</v>
      </c>
    </row>
    <row r="27" spans="1:7" x14ac:dyDescent="0.25">
      <c r="A27" t="s">
        <v>205</v>
      </c>
    </row>
    <row r="28" spans="1:7" x14ac:dyDescent="0.25">
      <c r="A28" t="s">
        <v>201</v>
      </c>
      <c r="B28" t="s">
        <v>199</v>
      </c>
      <c r="C28" s="180">
        <v>7.0000000000000007E-2</v>
      </c>
      <c r="D28" s="149">
        <f>300000*C28</f>
        <v>21000.000000000004</v>
      </c>
      <c r="F28" s="149">
        <v>300000</v>
      </c>
      <c r="G28" s="179">
        <f>F28</f>
        <v>300000</v>
      </c>
    </row>
    <row r="29" spans="1:7" x14ac:dyDescent="0.25">
      <c r="A29" t="s">
        <v>200</v>
      </c>
      <c r="B29" t="s">
        <v>199</v>
      </c>
      <c r="C29" s="180">
        <v>0.11</v>
      </c>
      <c r="D29" s="149">
        <f>300000*C29</f>
        <v>33000</v>
      </c>
      <c r="F29" s="149">
        <v>300000</v>
      </c>
      <c r="G29" s="179">
        <f>G28+F29</f>
        <v>600000</v>
      </c>
    </row>
    <row r="30" spans="1:7" x14ac:dyDescent="0.25">
      <c r="A30" t="s">
        <v>202</v>
      </c>
      <c r="B30" t="s">
        <v>199</v>
      </c>
      <c r="C30" s="180">
        <v>0.15</v>
      </c>
      <c r="D30" s="149">
        <f>500000*C30</f>
        <v>75000</v>
      </c>
      <c r="F30" s="149">
        <v>500000</v>
      </c>
      <c r="G30" s="179">
        <f t="shared" ref="G30:G32" si="0">G29+F30</f>
        <v>1100000</v>
      </c>
    </row>
    <row r="31" spans="1:7" x14ac:dyDescent="0.25">
      <c r="A31" t="s">
        <v>202</v>
      </c>
      <c r="B31" t="s">
        <v>199</v>
      </c>
      <c r="C31" s="180">
        <v>0.19</v>
      </c>
      <c r="D31" s="149">
        <f>500000*C31</f>
        <v>95000</v>
      </c>
      <c r="F31" s="149">
        <v>500000</v>
      </c>
      <c r="G31" s="179">
        <f t="shared" si="0"/>
        <v>1600000</v>
      </c>
    </row>
    <row r="32" spans="1:7" x14ac:dyDescent="0.25">
      <c r="A32" t="s">
        <v>203</v>
      </c>
      <c r="B32" t="s">
        <v>199</v>
      </c>
      <c r="C32" s="180">
        <v>0.21</v>
      </c>
      <c r="D32" s="149">
        <f>1600000*C32</f>
        <v>336000</v>
      </c>
      <c r="F32" s="149">
        <v>1600000</v>
      </c>
      <c r="G32" s="179">
        <f t="shared" si="0"/>
        <v>3200000</v>
      </c>
    </row>
    <row r="33" spans="1:6" x14ac:dyDescent="0.25">
      <c r="A33" t="s">
        <v>204</v>
      </c>
      <c r="B33" t="s">
        <v>199</v>
      </c>
      <c r="C33" s="180">
        <v>0.24</v>
      </c>
      <c r="D33" s="179">
        <f>(E26-G32)*C33</f>
        <v>265283.88239999994</v>
      </c>
      <c r="F33" s="149">
        <f>E26-G32</f>
        <v>1105349.5099999998</v>
      </c>
    </row>
    <row r="34" spans="1:6" ht="15.75" thickBot="1" x14ac:dyDescent="0.3">
      <c r="A34" t="s">
        <v>206</v>
      </c>
      <c r="D34" s="183">
        <f>SUM(D28:D33)</f>
        <v>825283.8824</v>
      </c>
      <c r="F34" s="149">
        <f>SUM(F28:F33)</f>
        <v>4305349.51</v>
      </c>
    </row>
    <row r="35" spans="1:6" ht="16.5" thickTop="1" thickBot="1" x14ac:dyDescent="0.3">
      <c r="A35" t="s">
        <v>10</v>
      </c>
      <c r="D35" s="184">
        <f>D34/12</f>
        <v>68773.656866666672</v>
      </c>
      <c r="F35" s="184">
        <f>F34/12</f>
        <v>358779.1258333333</v>
      </c>
    </row>
    <row r="36" spans="1:6" ht="15.75" thickTop="1" x14ac:dyDescent="0.25"/>
    <row r="37" spans="1:6" ht="15.75" thickBot="1" x14ac:dyDescent="0.3">
      <c r="A37" t="s">
        <v>207</v>
      </c>
      <c r="D37" s="182">
        <f>1%*E14</f>
        <v>58936.258125</v>
      </c>
    </row>
    <row r="38" spans="1:6" ht="15.75" thickTop="1" x14ac:dyDescent="0.25"/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2"/>
  <sheetViews>
    <sheetView view="pageBreakPreview" zoomScale="60" workbookViewId="0">
      <selection activeCell="A18" sqref="A18:E18"/>
    </sheetView>
  </sheetViews>
  <sheetFormatPr defaultColWidth="8.85546875" defaultRowHeight="15" x14ac:dyDescent="0.25"/>
  <cols>
    <col min="1" max="1" width="8.85546875" style="43"/>
    <col min="2" max="2" width="36.85546875" style="43" bestFit="1" customWidth="1"/>
    <col min="3" max="3" width="45.42578125" style="43" bestFit="1" customWidth="1"/>
    <col min="4" max="4" width="21.28515625" style="43" bestFit="1" customWidth="1"/>
    <col min="5" max="5" width="25.42578125" style="43" bestFit="1" customWidth="1"/>
    <col min="6" max="16384" width="8.85546875" style="43"/>
  </cols>
  <sheetData>
    <row r="1" spans="1:5" ht="18.75" x14ac:dyDescent="0.3">
      <c r="A1" s="125" t="str">
        <f>'MONTHLY PAYROLL'!A1</f>
        <v>Queen and Queen Ltd</v>
      </c>
      <c r="B1" s="126"/>
      <c r="C1" s="126"/>
      <c r="D1" s="126"/>
      <c r="E1" s="126"/>
    </row>
    <row r="2" spans="1:5" ht="18.75" x14ac:dyDescent="0.3">
      <c r="A2" s="125" t="s">
        <v>110</v>
      </c>
      <c r="B2" s="126"/>
      <c r="C2" s="126"/>
      <c r="D2" s="126"/>
      <c r="E2" s="126"/>
    </row>
    <row r="3" spans="1:5" ht="18.75" x14ac:dyDescent="0.3">
      <c r="A3" s="125" t="str">
        <f>'MONTHLY PAYROLL'!B3</f>
        <v>25th November 2020</v>
      </c>
      <c r="B3" s="126"/>
      <c r="C3" s="126"/>
      <c r="D3" s="126"/>
      <c r="E3" s="126"/>
    </row>
    <row r="4" spans="1:5" ht="18.75" x14ac:dyDescent="0.3">
      <c r="A4" s="126"/>
      <c r="B4" s="126"/>
      <c r="C4" s="126"/>
      <c r="D4" s="126"/>
      <c r="E4" s="126"/>
    </row>
    <row r="5" spans="1:5" s="44" customFormat="1" ht="18.75" x14ac:dyDescent="0.3">
      <c r="A5" s="127" t="s">
        <v>56</v>
      </c>
      <c r="B5" s="127" t="s">
        <v>45</v>
      </c>
      <c r="C5" s="127" t="s">
        <v>102</v>
      </c>
      <c r="D5" s="127" t="s">
        <v>109</v>
      </c>
      <c r="E5" s="127" t="s">
        <v>111</v>
      </c>
    </row>
    <row r="6" spans="1:5" ht="18.75" x14ac:dyDescent="0.3">
      <c r="A6" s="129">
        <v>1</v>
      </c>
      <c r="B6" s="129" t="str">
        <f t="shared" ref="B6:B11" si="0">VLOOKUP(A6,sec,4,FALSE)</f>
        <v>ENGINEERING</v>
      </c>
      <c r="C6" s="130" t="str">
        <f t="shared" ref="C6:C11" si="1">VLOOKUP(A6,sec,2,FALSE)</f>
        <v>Thelma Nojeem</v>
      </c>
      <c r="D6" s="131">
        <f t="shared" ref="D6:D11" si="2">VLOOKUP(A6,sec,20,FALSE)</f>
        <v>111255.00083333332</v>
      </c>
      <c r="E6" s="131">
        <f>1%*D6</f>
        <v>1112.5500083333334</v>
      </c>
    </row>
    <row r="7" spans="1:5" ht="18.75" x14ac:dyDescent="0.3">
      <c r="A7" s="132">
        <f>A6+1</f>
        <v>2</v>
      </c>
      <c r="B7" s="129" t="str">
        <f t="shared" si="0"/>
        <v>ENGINEERING</v>
      </c>
      <c r="C7" s="130" t="str">
        <f t="shared" si="1"/>
        <v>Kafaya Aniefiok</v>
      </c>
      <c r="D7" s="131">
        <f t="shared" si="2"/>
        <v>111255.00083333332</v>
      </c>
      <c r="E7" s="131">
        <f t="shared" ref="E7:E11" si="3">1%*D7</f>
        <v>1112.5500083333334</v>
      </c>
    </row>
    <row r="8" spans="1:5" ht="18.75" x14ac:dyDescent="0.3">
      <c r="A8" s="132">
        <f t="shared" ref="A8:A17" si="4">A7+1</f>
        <v>3</v>
      </c>
      <c r="B8" s="129" t="str">
        <f t="shared" si="0"/>
        <v>ENGINEERING</v>
      </c>
      <c r="C8" s="130" t="str">
        <f t="shared" si="1"/>
        <v>Akpan Salawu</v>
      </c>
      <c r="D8" s="131">
        <f t="shared" si="2"/>
        <v>466666.66666666663</v>
      </c>
      <c r="E8" s="131">
        <f t="shared" si="3"/>
        <v>4666.6666666666661</v>
      </c>
    </row>
    <row r="9" spans="1:5" ht="18.75" x14ac:dyDescent="0.3">
      <c r="A9" s="132">
        <f t="shared" si="4"/>
        <v>4</v>
      </c>
      <c r="B9" s="129" t="str">
        <f t="shared" si="0"/>
        <v>FINANCE</v>
      </c>
      <c r="C9" s="130" t="str">
        <f t="shared" si="1"/>
        <v>Queen Amachree</v>
      </c>
      <c r="D9" s="131">
        <f t="shared" si="2"/>
        <v>69512.629358333346</v>
      </c>
      <c r="E9" s="131">
        <f t="shared" si="3"/>
        <v>695.12629358333345</v>
      </c>
    </row>
    <row r="10" spans="1:5" ht="18.75" x14ac:dyDescent="0.3">
      <c r="A10" s="132">
        <f t="shared" si="4"/>
        <v>5</v>
      </c>
      <c r="B10" s="129" t="str">
        <f t="shared" si="0"/>
        <v>FINANCE</v>
      </c>
      <c r="C10" s="130" t="str">
        <f t="shared" si="1"/>
        <v>Chukwuemema Buhari</v>
      </c>
      <c r="D10" s="131">
        <f t="shared" si="2"/>
        <v>171177.11083333334</v>
      </c>
      <c r="E10" s="131">
        <f t="shared" si="3"/>
        <v>1711.7711083333334</v>
      </c>
    </row>
    <row r="11" spans="1:5" ht="18.75" x14ac:dyDescent="0.3">
      <c r="A11" s="132">
        <f t="shared" si="4"/>
        <v>6</v>
      </c>
      <c r="B11" s="129" t="str">
        <f t="shared" si="0"/>
        <v>FINANCE</v>
      </c>
      <c r="C11" s="130" t="str">
        <f t="shared" si="1"/>
        <v>Prisca John</v>
      </c>
      <c r="D11" s="131">
        <f t="shared" si="2"/>
        <v>266666.66666666663</v>
      </c>
      <c r="E11" s="131">
        <f t="shared" si="3"/>
        <v>2666.6666666666665</v>
      </c>
    </row>
    <row r="12" spans="1:5" ht="18.75" x14ac:dyDescent="0.3">
      <c r="A12" s="132">
        <f t="shared" si="4"/>
        <v>7</v>
      </c>
      <c r="B12" s="129" t="str">
        <f t="shared" ref="B12:B17" si="5">VLOOKUP(A12,sec,4,FALSE)</f>
        <v>MARKETING</v>
      </c>
      <c r="C12" s="130" t="str">
        <f t="shared" ref="C12:C17" si="6">VLOOKUP(A12,sec,2,FALSE)</f>
        <v>Bobo Samba</v>
      </c>
      <c r="D12" s="131">
        <f t="shared" ref="D12:D17" si="7">VLOOKUP(A12,sec,20,FALSE)</f>
        <v>171177.11083333334</v>
      </c>
      <c r="E12" s="131">
        <f t="shared" ref="E12:E17" si="8">1%*D12</f>
        <v>1711.7711083333334</v>
      </c>
    </row>
    <row r="13" spans="1:5" ht="18.75" x14ac:dyDescent="0.3">
      <c r="A13" s="132">
        <f t="shared" si="4"/>
        <v>8</v>
      </c>
      <c r="B13" s="129" t="str">
        <f t="shared" si="5"/>
        <v>MARKETING</v>
      </c>
      <c r="C13" s="130" t="str">
        <f t="shared" si="6"/>
        <v>Jimoh Chinedu</v>
      </c>
      <c r="D13" s="131">
        <f t="shared" si="7"/>
        <v>171177.11083333334</v>
      </c>
      <c r="E13" s="131">
        <f t="shared" si="8"/>
        <v>1711.7711083333334</v>
      </c>
    </row>
    <row r="14" spans="1:5" ht="18.75" x14ac:dyDescent="0.3">
      <c r="A14" s="132">
        <f t="shared" si="4"/>
        <v>9</v>
      </c>
      <c r="B14" s="129" t="str">
        <f t="shared" si="5"/>
        <v>MARKETING</v>
      </c>
      <c r="C14" s="130" t="str">
        <f t="shared" si="6"/>
        <v>Simon Ibrahim</v>
      </c>
      <c r="D14" s="131">
        <f t="shared" si="7"/>
        <v>171177.11083333334</v>
      </c>
      <c r="E14" s="131">
        <f t="shared" si="8"/>
        <v>1711.7711083333334</v>
      </c>
    </row>
    <row r="15" spans="1:5" ht="18.75" x14ac:dyDescent="0.3">
      <c r="A15" s="132">
        <f t="shared" si="4"/>
        <v>10</v>
      </c>
      <c r="B15" s="129" t="str">
        <f t="shared" si="5"/>
        <v>OPERATIONS</v>
      </c>
      <c r="C15" s="130" t="str">
        <f t="shared" si="6"/>
        <v>Amaka Raji</v>
      </c>
      <c r="D15" s="131">
        <f t="shared" si="7"/>
        <v>266666.66666666663</v>
      </c>
      <c r="E15" s="131">
        <f t="shared" si="8"/>
        <v>2666.6666666666665</v>
      </c>
    </row>
    <row r="16" spans="1:5" ht="18.75" x14ac:dyDescent="0.3">
      <c r="A16" s="132">
        <f t="shared" si="4"/>
        <v>11</v>
      </c>
      <c r="B16" s="129" t="str">
        <f t="shared" si="5"/>
        <v>OPERATIONS</v>
      </c>
      <c r="C16" s="130" t="str">
        <f t="shared" si="6"/>
        <v>Charles Abubakar</v>
      </c>
      <c r="D16" s="131">
        <f t="shared" si="7"/>
        <v>266666.66666666663</v>
      </c>
      <c r="E16" s="131">
        <f t="shared" si="8"/>
        <v>2666.6666666666665</v>
      </c>
    </row>
    <row r="17" spans="1:5" ht="18.75" x14ac:dyDescent="0.3">
      <c r="A17" s="132">
        <f t="shared" si="4"/>
        <v>12</v>
      </c>
      <c r="B17" s="129" t="str">
        <f t="shared" si="5"/>
        <v>OPERATIONS</v>
      </c>
      <c r="C17" s="130" t="str">
        <f t="shared" si="6"/>
        <v>Boma Daudu</v>
      </c>
      <c r="D17" s="131">
        <f t="shared" si="7"/>
        <v>266666.66666666663</v>
      </c>
      <c r="E17" s="131">
        <f t="shared" si="8"/>
        <v>2666.6666666666665</v>
      </c>
    </row>
    <row r="18" spans="1:5" ht="18.75" x14ac:dyDescent="0.3">
      <c r="A18" s="132"/>
      <c r="B18" s="129"/>
      <c r="C18" s="130"/>
      <c r="D18" s="131"/>
      <c r="E18" s="131"/>
    </row>
    <row r="19" spans="1:5" ht="18.75" x14ac:dyDescent="0.3">
      <c r="A19" s="132"/>
      <c r="B19" s="129"/>
      <c r="C19" s="130"/>
      <c r="D19" s="131"/>
      <c r="E19" s="131"/>
    </row>
    <row r="20" spans="1:5" ht="18.75" x14ac:dyDescent="0.3">
      <c r="A20" s="132"/>
      <c r="B20" s="129"/>
      <c r="C20" s="130"/>
      <c r="D20" s="131"/>
      <c r="E20" s="131"/>
    </row>
    <row r="21" spans="1:5" ht="18.75" x14ac:dyDescent="0.3">
      <c r="A21" s="132"/>
      <c r="B21" s="129"/>
      <c r="C21" s="130"/>
      <c r="D21" s="131"/>
      <c r="E21" s="131"/>
    </row>
    <row r="22" spans="1:5" ht="18.75" x14ac:dyDescent="0.3">
      <c r="A22" s="132"/>
      <c r="B22" s="129"/>
      <c r="C22" s="130"/>
      <c r="D22" s="131"/>
      <c r="E22" s="131"/>
    </row>
    <row r="23" spans="1:5" ht="18.75" x14ac:dyDescent="0.3">
      <c r="A23" s="132"/>
      <c r="B23" s="129"/>
      <c r="C23" s="130"/>
      <c r="D23" s="131"/>
      <c r="E23" s="131"/>
    </row>
    <row r="24" spans="1:5" ht="18.75" x14ac:dyDescent="0.3">
      <c r="A24" s="132"/>
      <c r="B24" s="129"/>
      <c r="C24" s="130"/>
      <c r="D24" s="131"/>
      <c r="E24" s="131"/>
    </row>
    <row r="25" spans="1:5" ht="18.75" x14ac:dyDescent="0.3">
      <c r="A25" s="132"/>
      <c r="B25" s="129"/>
      <c r="C25" s="130"/>
      <c r="D25" s="131"/>
      <c r="E25" s="131"/>
    </row>
    <row r="26" spans="1:5" ht="18.75" hidden="1" x14ac:dyDescent="0.3">
      <c r="A26" s="132"/>
      <c r="B26" s="129"/>
      <c r="C26" s="130"/>
      <c r="D26" s="131"/>
      <c r="E26" s="131"/>
    </row>
    <row r="27" spans="1:5" ht="18.75" hidden="1" x14ac:dyDescent="0.3">
      <c r="A27" s="132"/>
      <c r="B27" s="129"/>
      <c r="C27" s="130"/>
      <c r="D27" s="131"/>
      <c r="E27" s="131"/>
    </row>
    <row r="28" spans="1:5" ht="18.75" hidden="1" x14ac:dyDescent="0.3">
      <c r="A28" s="132"/>
      <c r="B28" s="132"/>
      <c r="C28" s="132"/>
      <c r="D28" s="134"/>
      <c r="E28" s="134"/>
    </row>
    <row r="29" spans="1:5" ht="18.75" hidden="1" x14ac:dyDescent="0.3">
      <c r="A29" s="132"/>
      <c r="B29" s="132"/>
      <c r="C29" s="132"/>
      <c r="D29" s="134"/>
      <c r="E29" s="134"/>
    </row>
    <row r="30" spans="1:5" ht="19.5" thickBot="1" x14ac:dyDescent="0.35">
      <c r="A30" s="135"/>
      <c r="B30" s="135"/>
      <c r="C30" s="135"/>
      <c r="D30" s="136"/>
      <c r="E30" s="136"/>
    </row>
    <row r="31" spans="1:5" ht="19.5" thickBot="1" x14ac:dyDescent="0.35">
      <c r="A31" s="137"/>
      <c r="B31" s="137"/>
      <c r="C31" s="138" t="s">
        <v>108</v>
      </c>
      <c r="D31" s="139">
        <f>SUM(D6:D30)</f>
        <v>2510064.4076916659</v>
      </c>
      <c r="E31" s="139">
        <f>SUM(E6:E30)</f>
        <v>25100.644076916673</v>
      </c>
    </row>
    <row r="32" spans="1:5" ht="15.75" thickTop="1" x14ac:dyDescent="0.25"/>
  </sheetData>
  <pageMargins left="0.7" right="0.7" top="0.75" bottom="0.75" header="0.3" footer="0.3"/>
  <pageSetup scale="61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zoomScale="150" zoomScaleNormal="150" workbookViewId="0">
      <selection activeCell="C1" sqref="C1"/>
    </sheetView>
  </sheetViews>
  <sheetFormatPr defaultColWidth="8.85546875" defaultRowHeight="15" x14ac:dyDescent="0.25"/>
  <cols>
    <col min="1" max="1" width="17" customWidth="1"/>
    <col min="2" max="2" width="10.42578125" customWidth="1"/>
    <col min="3" max="3" width="13.28515625" style="149" bestFit="1" customWidth="1"/>
  </cols>
  <sheetData>
    <row r="1" spans="1:3" x14ac:dyDescent="0.25">
      <c r="A1" s="1" t="str">
        <f>'MONTHLY PAYROLL'!A1</f>
        <v>Queen and Queen Ltd</v>
      </c>
    </row>
    <row r="2" spans="1:3" x14ac:dyDescent="0.25">
      <c r="A2" s="1" t="s">
        <v>126</v>
      </c>
    </row>
    <row r="4" spans="1:3" x14ac:dyDescent="0.25">
      <c r="A4" t="s">
        <v>127</v>
      </c>
      <c r="C4" s="149">
        <f>'MONTHLY PAYROLL'!T26</f>
        <v>2510064.4076916659</v>
      </c>
    </row>
    <row r="5" spans="1:3" x14ac:dyDescent="0.25">
      <c r="A5" t="s">
        <v>128</v>
      </c>
      <c r="C5" s="149">
        <f>PENSION!G29</f>
        <v>112952.89834612499</v>
      </c>
    </row>
    <row r="6" spans="1:3" x14ac:dyDescent="0.25">
      <c r="A6" t="s">
        <v>129</v>
      </c>
      <c r="C6" s="149">
        <f>NSITF!E31</f>
        <v>25100.644076916673</v>
      </c>
    </row>
    <row r="7" spans="1:3" ht="15.75" thickBot="1" x14ac:dyDescent="0.3"/>
    <row r="8" spans="1:3" ht="15.75" thickBot="1" x14ac:dyDescent="0.3">
      <c r="A8" s="152" t="s">
        <v>84</v>
      </c>
      <c r="B8" s="152"/>
      <c r="C8" s="153">
        <f>SUM(C4:C7)</f>
        <v>2648117.9501147079</v>
      </c>
    </row>
    <row r="9" spans="1:3" ht="15.75" thickTop="1" x14ac:dyDescent="0.25"/>
    <row r="11" spans="1:3" x14ac:dyDescent="0.25">
      <c r="A11" t="s">
        <v>130</v>
      </c>
    </row>
    <row r="12" spans="1:3" x14ac:dyDescent="0.25">
      <c r="A12" t="s">
        <v>131</v>
      </c>
      <c r="C12" s="149">
        <f>'MONTHLY PAYROLL'!AI26</f>
        <v>2158097.6571515589</v>
      </c>
    </row>
    <row r="13" spans="1:3" x14ac:dyDescent="0.25">
      <c r="A13" t="s">
        <v>132</v>
      </c>
      <c r="C13" s="149">
        <f>PAYE!D31</f>
        <v>261604.4318632076</v>
      </c>
    </row>
    <row r="14" spans="1:3" x14ac:dyDescent="0.25">
      <c r="A14" t="s">
        <v>133</v>
      </c>
      <c r="C14" s="149">
        <f>PENSION!F29</f>
        <v>90362.318676900002</v>
      </c>
    </row>
    <row r="15" spans="1:3" x14ac:dyDescent="0.25">
      <c r="A15" t="s">
        <v>134</v>
      </c>
      <c r="C15" s="149">
        <f>PENSION!G29</f>
        <v>112952.89834612499</v>
      </c>
    </row>
    <row r="16" spans="1:3" x14ac:dyDescent="0.25">
      <c r="A16" t="s">
        <v>129</v>
      </c>
      <c r="C16" s="149">
        <f>NSITF!E31</f>
        <v>25100.644076916673</v>
      </c>
    </row>
    <row r="17" spans="1:3" ht="15.75" thickBot="1" x14ac:dyDescent="0.3"/>
    <row r="18" spans="1:3" ht="15.75" thickBot="1" x14ac:dyDescent="0.3">
      <c r="A18" s="152" t="s">
        <v>84</v>
      </c>
      <c r="B18" s="152"/>
      <c r="C18" s="153">
        <f>SUM(C12:C16)</f>
        <v>2648117.9501147089</v>
      </c>
    </row>
    <row r="19" spans="1:3" ht="16.5" thickTop="1" thickBot="1" x14ac:dyDescent="0.3"/>
    <row r="20" spans="1:3" ht="15.75" thickBot="1" x14ac:dyDescent="0.3">
      <c r="A20" s="150" t="s">
        <v>123</v>
      </c>
      <c r="B20" s="150"/>
      <c r="C20" s="151">
        <f>C8-C18</f>
        <v>0</v>
      </c>
    </row>
    <row r="21" spans="1:3" ht="15.75" thickTop="1" x14ac:dyDescent="0.25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32"/>
  <sheetViews>
    <sheetView view="pageBreakPreview" zoomScale="80" zoomScaleNormal="80" zoomScaleSheetLayoutView="80" zoomScalePageLayoutView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S1" sqref="S1"/>
    </sheetView>
  </sheetViews>
  <sheetFormatPr defaultColWidth="8.85546875" defaultRowHeight="23.25" x14ac:dyDescent="0.35"/>
  <cols>
    <col min="1" max="1" width="6.42578125" style="67" customWidth="1"/>
    <col min="2" max="2" width="60" style="67" customWidth="1"/>
    <col min="3" max="3" width="35.28515625" style="67" hidden="1" customWidth="1"/>
    <col min="4" max="5" width="24.7109375" style="67" hidden="1" customWidth="1"/>
    <col min="6" max="6" width="24.7109375" style="68" hidden="1" customWidth="1"/>
    <col min="7" max="8" width="24.7109375" style="67" hidden="1" customWidth="1"/>
    <col min="9" max="9" width="22" style="69" customWidth="1"/>
    <col min="10" max="11" width="21.42578125" style="69" customWidth="1"/>
    <col min="12" max="12" width="18.28515625" style="69" customWidth="1"/>
    <col min="13" max="13" width="19.42578125" style="69" customWidth="1"/>
    <col min="14" max="14" width="20" style="69" customWidth="1"/>
    <col min="15" max="16" width="18.42578125" style="69" customWidth="1"/>
    <col min="17" max="17" width="19.42578125" style="69" customWidth="1"/>
    <col min="18" max="18" width="20.140625" style="69" bestFit="1" customWidth="1"/>
    <col min="19" max="19" width="2.42578125" style="70" customWidth="1"/>
    <col min="20" max="20" width="22.85546875" style="69" bestFit="1" customWidth="1"/>
    <col min="21" max="21" width="0.85546875" style="70" customWidth="1"/>
    <col min="22" max="22" width="19.7109375" style="69" customWidth="1"/>
    <col min="23" max="23" width="19" style="69" customWidth="1"/>
    <col min="24" max="24" width="23" style="69" customWidth="1"/>
    <col min="25" max="25" width="16.7109375" style="69" customWidth="1"/>
    <col min="26" max="26" width="22.7109375" style="69" bestFit="1" customWidth="1"/>
    <col min="27" max="27" width="20.140625" style="69" bestFit="1" customWidth="1"/>
    <col min="28" max="28" width="15.42578125" style="69" customWidth="1"/>
    <col min="29" max="29" width="14.85546875" style="69" customWidth="1"/>
    <col min="30" max="30" width="18.140625" style="69" bestFit="1" customWidth="1"/>
    <col min="31" max="31" width="19.42578125" style="69" customWidth="1"/>
    <col min="32" max="32" width="0.85546875" style="69" customWidth="1"/>
    <col min="33" max="33" width="22.140625" style="69" customWidth="1"/>
    <col min="34" max="34" width="1" style="69" customWidth="1"/>
    <col min="35" max="35" width="22.85546875" style="69" bestFit="1" customWidth="1"/>
    <col min="36" max="36" width="5" style="69" customWidth="1"/>
    <col min="37" max="37" width="12" style="67" customWidth="1"/>
    <col min="38" max="38" width="3" style="67" customWidth="1"/>
    <col min="39" max="39" width="22.85546875" style="67" bestFit="1" customWidth="1"/>
    <col min="40" max="40" width="12.42578125" style="67" bestFit="1" customWidth="1"/>
    <col min="41" max="43" width="12.42578125" style="67" customWidth="1"/>
    <col min="44" max="44" width="11.42578125" style="67" bestFit="1" customWidth="1"/>
    <col min="45" max="45" width="14.7109375" style="67" customWidth="1"/>
    <col min="46" max="46" width="4.7109375" style="67" customWidth="1"/>
    <col min="47" max="47" width="13.28515625" style="67" bestFit="1" customWidth="1"/>
    <col min="48" max="48" width="15" style="67" bestFit="1" customWidth="1"/>
    <col min="49" max="49" width="2.42578125" style="71" customWidth="1"/>
    <col min="50" max="51" width="11.42578125" style="67" bestFit="1" customWidth="1"/>
    <col min="52" max="53" width="12.28515625" style="67" bestFit="1" customWidth="1"/>
    <col min="54" max="55" width="13.28515625" style="67" bestFit="1" customWidth="1"/>
    <col min="56" max="56" width="13.28515625" style="69" bestFit="1" customWidth="1"/>
    <col min="57" max="57" width="11.42578125" style="67" bestFit="1" customWidth="1"/>
    <col min="58" max="58" width="13.28515625" style="67" bestFit="1" customWidth="1"/>
    <col min="59" max="59" width="11" style="67" customWidth="1"/>
    <col min="60" max="60" width="15" style="67" bestFit="1" customWidth="1"/>
    <col min="61" max="61" width="13.28515625" style="67" bestFit="1" customWidth="1"/>
    <col min="62" max="62" width="15.140625" style="67" customWidth="1"/>
    <col min="63" max="16384" width="8.85546875" style="67"/>
  </cols>
  <sheetData>
    <row r="1" spans="1:62" x14ac:dyDescent="0.35">
      <c r="A1" s="66" t="s">
        <v>184</v>
      </c>
      <c r="AX1" s="69" t="s">
        <v>2</v>
      </c>
      <c r="AY1" s="69"/>
    </row>
    <row r="2" spans="1:62" s="72" customFormat="1" ht="36.950000000000003" customHeight="1" x14ac:dyDescent="0.35">
      <c r="A2" s="185" t="s">
        <v>125</v>
      </c>
      <c r="B2" s="185"/>
      <c r="C2" s="185"/>
      <c r="F2" s="73"/>
      <c r="I2" s="74"/>
      <c r="J2" s="74"/>
      <c r="K2" s="74"/>
      <c r="L2" s="74"/>
      <c r="M2" s="74"/>
      <c r="N2" s="74"/>
      <c r="O2" s="74"/>
      <c r="P2" s="74"/>
      <c r="Q2" s="74"/>
      <c r="R2" s="74"/>
      <c r="S2" s="75"/>
      <c r="T2" s="74"/>
      <c r="U2" s="75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6"/>
      <c r="AX2" s="74"/>
      <c r="AY2" s="74"/>
      <c r="AZ2" s="74"/>
      <c r="BA2" s="74"/>
      <c r="BB2" s="74"/>
      <c r="BC2" s="74"/>
      <c r="BD2" s="74"/>
    </row>
    <row r="3" spans="1:62" s="72" customFormat="1" ht="24.75" customHeight="1" x14ac:dyDescent="0.35">
      <c r="B3" s="175" t="s">
        <v>136</v>
      </c>
      <c r="F3" s="73"/>
      <c r="I3" s="74"/>
      <c r="J3" s="74"/>
      <c r="K3" s="74"/>
      <c r="L3" s="74"/>
      <c r="M3" s="74"/>
      <c r="N3" s="74"/>
      <c r="O3" s="74"/>
      <c r="P3" s="74"/>
      <c r="Q3" s="74"/>
      <c r="R3" s="74"/>
      <c r="S3" s="75"/>
      <c r="T3" s="74"/>
      <c r="U3" s="75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6"/>
      <c r="AX3" s="74"/>
      <c r="AY3" s="74"/>
      <c r="AZ3" s="74"/>
      <c r="BA3" s="74"/>
      <c r="BB3" s="74"/>
      <c r="BC3" s="74"/>
      <c r="BD3" s="74"/>
    </row>
    <row r="4" spans="1:62" s="72" customFormat="1" ht="52.5" customHeight="1" x14ac:dyDescent="0.35">
      <c r="A4" s="77" t="s">
        <v>56</v>
      </c>
      <c r="B4" s="77" t="s">
        <v>51</v>
      </c>
      <c r="C4" s="77" t="s">
        <v>44</v>
      </c>
      <c r="D4" s="77" t="s">
        <v>45</v>
      </c>
      <c r="E4" s="77" t="s">
        <v>46</v>
      </c>
      <c r="F4" s="77" t="s">
        <v>47</v>
      </c>
      <c r="G4" s="77" t="s">
        <v>48</v>
      </c>
      <c r="H4" s="77" t="s">
        <v>49</v>
      </c>
      <c r="I4" s="78" t="s">
        <v>14</v>
      </c>
      <c r="J4" s="78" t="s">
        <v>15</v>
      </c>
      <c r="K4" s="78" t="s">
        <v>16</v>
      </c>
      <c r="L4" s="78" t="s">
        <v>17</v>
      </c>
      <c r="M4" s="78" t="s">
        <v>18</v>
      </c>
      <c r="N4" s="78" t="s">
        <v>19</v>
      </c>
      <c r="O4" s="78" t="s">
        <v>20</v>
      </c>
      <c r="P4" s="78" t="s">
        <v>21</v>
      </c>
      <c r="Q4" s="78" t="s">
        <v>22</v>
      </c>
      <c r="R4" s="78" t="s">
        <v>23</v>
      </c>
      <c r="S4" s="97"/>
      <c r="T4" s="78" t="s">
        <v>24</v>
      </c>
      <c r="U4" s="97"/>
      <c r="V4" s="78" t="s">
        <v>25</v>
      </c>
      <c r="W4" s="78" t="s">
        <v>57</v>
      </c>
      <c r="X4" s="78" t="s">
        <v>58</v>
      </c>
      <c r="Y4" s="78" t="s">
        <v>59</v>
      </c>
      <c r="Z4" s="78" t="s">
        <v>121</v>
      </c>
      <c r="AA4" s="78" t="s">
        <v>119</v>
      </c>
      <c r="AB4" s="78" t="s">
        <v>120</v>
      </c>
      <c r="AC4" s="78" t="s">
        <v>61</v>
      </c>
      <c r="AD4" s="78" t="s">
        <v>62</v>
      </c>
      <c r="AE4" s="78" t="s">
        <v>30</v>
      </c>
      <c r="AF4" s="74"/>
      <c r="AG4" s="78" t="s">
        <v>39</v>
      </c>
      <c r="AH4" s="74"/>
      <c r="AI4" s="78" t="s">
        <v>122</v>
      </c>
      <c r="AJ4" s="74"/>
      <c r="AX4" s="98"/>
      <c r="AY4" s="98"/>
      <c r="AZ4" s="99"/>
      <c r="BA4" s="99"/>
      <c r="BB4" s="99"/>
      <c r="BC4" s="99"/>
      <c r="BD4" s="74"/>
      <c r="BE4" s="99"/>
      <c r="BF4" s="98"/>
      <c r="BG4" s="98"/>
      <c r="BH4" s="99"/>
      <c r="BI4" s="76"/>
    </row>
    <row r="5" spans="1:62" s="157" customFormat="1" x14ac:dyDescent="0.35">
      <c r="A5" s="155">
        <v>1</v>
      </c>
      <c r="B5" s="155" t="str">
        <f t="shared" ref="B5:B9" si="0">VLOOKUP(A5,SECA,6,FALSE)</f>
        <v>Thelma Nojeem</v>
      </c>
      <c r="C5" s="155" t="str">
        <f t="shared" ref="C5:C9" si="1">VLOOKUP(A5,SECA,7,FALSE)</f>
        <v>SB1</v>
      </c>
      <c r="D5" s="155" t="str">
        <f t="shared" ref="D5:D9" si="2">VLOOKUP(A5,SECA,8,FALSE)</f>
        <v>ENGINEERING</v>
      </c>
      <c r="E5" s="155" t="str">
        <f t="shared" ref="E5:E9" si="3">VLOOKUP(A5,SECA,9,FALSE)</f>
        <v>Sample Bank Plc</v>
      </c>
      <c r="F5" s="156" t="str">
        <f t="shared" ref="F5:F9" si="4">VLOOKUP(A5,SECA,10,FALSE)</f>
        <v>00045879088</v>
      </c>
      <c r="G5" s="155" t="str">
        <f t="shared" ref="G5:G9" si="5">VLOOKUP(A5,SECA,11,FALSE)</f>
        <v>SAMPLE PFA</v>
      </c>
      <c r="H5" s="155" t="str">
        <f t="shared" ref="H5:H9" si="6">VLOOKUP(A5,SECA,12,FALSE)</f>
        <v>PINSAMPLE001</v>
      </c>
      <c r="I5" s="79">
        <f t="shared" ref="I5:I9" si="7">VLOOKUP(A5,SECA,13,FALSE)/12</f>
        <v>16688.250124999995</v>
      </c>
      <c r="J5" s="79">
        <f t="shared" ref="J5:J9" si="8">VLOOKUP(A5,SECA,14,FALSE)/12</f>
        <v>16688.250124999995</v>
      </c>
      <c r="K5" s="79">
        <f t="shared" ref="K5:K9" si="9">VLOOKUP(A5,SECA,15,FALSE)/12</f>
        <v>16688.250124999995</v>
      </c>
      <c r="L5" s="79">
        <f t="shared" ref="L5:L9" si="10">VLOOKUP(A5,SECA,16,FALSE)/12</f>
        <v>11125.500083333332</v>
      </c>
      <c r="M5" s="79">
        <f t="shared" ref="M5:M9" si="11">VLOOKUP(A5,SECA,17,FALSE)/12</f>
        <v>11125.500083333332</v>
      </c>
      <c r="N5" s="79">
        <f t="shared" ref="N5:N9" si="12">VLOOKUP(A5,SECA,18,FALSE)/12</f>
        <v>11125.500083333332</v>
      </c>
      <c r="O5" s="79">
        <f t="shared" ref="O5:O9" si="13">VLOOKUP(A5,SECA,19,FALSE)/12</f>
        <v>11125.500083333332</v>
      </c>
      <c r="P5" s="79">
        <f t="shared" ref="P5:P9" si="14">VLOOKUP(A5,SECA,20,FALSE)/12</f>
        <v>5562.7500416666662</v>
      </c>
      <c r="Q5" s="79">
        <f t="shared" ref="Q5:Q9" si="15">VLOOKUP(A5,SECA,21,FALSE)/12</f>
        <v>5562.7500416666662</v>
      </c>
      <c r="R5" s="79">
        <f t="shared" ref="R5:R9" si="16">VLOOKUP(A5,SECA,22,FALSE)/12</f>
        <v>5562.7500416666662</v>
      </c>
      <c r="S5" s="79"/>
      <c r="T5" s="79">
        <f>SUM(I5:R5)</f>
        <v>111255.00083333332</v>
      </c>
      <c r="U5" s="79"/>
      <c r="V5" s="79"/>
      <c r="W5" s="79"/>
      <c r="X5" s="79"/>
      <c r="Y5" s="79">
        <f t="shared" ref="Y5:Y7" si="17">VLOOKUP(A5,SECA,25,FALSE)/12</f>
        <v>0</v>
      </c>
      <c r="Z5" s="79">
        <f t="shared" ref="Z5:Z7" si="18">VLOOKUP(A5,SECA,26,FALSE)/12</f>
        <v>0</v>
      </c>
      <c r="AA5" s="79">
        <f t="shared" ref="AA5:AA7" si="19">VLOOKUP(A5,SECA,59,FALSE)</f>
        <v>7249.8230954999972</v>
      </c>
      <c r="AB5" s="79"/>
      <c r="AC5" s="79"/>
      <c r="AD5" s="79"/>
      <c r="AE5" s="79">
        <f t="shared" ref="AE5:AE7" si="20">VLOOKUP(A5,SECA,31,FALSE)/12</f>
        <v>4005.1800299999991</v>
      </c>
      <c r="AF5" s="70"/>
      <c r="AG5" s="79">
        <f>V5+X5+Y5+Z5+AA5+AB5+AE5-W5</f>
        <v>11255.003125499996</v>
      </c>
      <c r="AH5" s="70"/>
      <c r="AI5" s="79">
        <f>T5-AG5</f>
        <v>99999.997707833332</v>
      </c>
      <c r="AJ5" s="70"/>
      <c r="AM5" s="70"/>
      <c r="AN5" s="158"/>
      <c r="AO5" s="158"/>
      <c r="AP5" s="158"/>
      <c r="AQ5" s="158"/>
      <c r="AR5" s="159"/>
      <c r="AU5" s="160"/>
      <c r="AV5" s="160"/>
      <c r="AW5" s="161"/>
      <c r="AX5" s="70"/>
      <c r="AY5" s="70"/>
      <c r="AZ5" s="70"/>
      <c r="BA5" s="70"/>
      <c r="BB5" s="70"/>
      <c r="BC5" s="70"/>
      <c r="BD5" s="70"/>
      <c r="BE5" s="70"/>
      <c r="BF5" s="158"/>
      <c r="BG5" s="158"/>
      <c r="BH5" s="70"/>
      <c r="BI5" s="70"/>
      <c r="BJ5" s="158"/>
    </row>
    <row r="6" spans="1:62" s="157" customFormat="1" x14ac:dyDescent="0.35">
      <c r="A6" s="154">
        <f>A5+1</f>
        <v>2</v>
      </c>
      <c r="B6" s="155" t="str">
        <f t="shared" si="0"/>
        <v>Kafaya Aniefiok</v>
      </c>
      <c r="C6" s="155" t="str">
        <f t="shared" si="1"/>
        <v>SB1</v>
      </c>
      <c r="D6" s="155" t="str">
        <f t="shared" si="2"/>
        <v>ENGINEERING</v>
      </c>
      <c r="E6" s="155" t="str">
        <f t="shared" si="3"/>
        <v>Sample Bank Plc</v>
      </c>
      <c r="F6" s="156" t="str">
        <f t="shared" si="4"/>
        <v>00045879089</v>
      </c>
      <c r="G6" s="155" t="str">
        <f t="shared" si="5"/>
        <v>SAMPLE PFA</v>
      </c>
      <c r="H6" s="155" t="str">
        <f t="shared" si="6"/>
        <v>PINSAMPLE002</v>
      </c>
      <c r="I6" s="79">
        <f t="shared" si="7"/>
        <v>16688.250124999995</v>
      </c>
      <c r="J6" s="79">
        <f t="shared" si="8"/>
        <v>16688.250124999995</v>
      </c>
      <c r="K6" s="79">
        <f t="shared" si="9"/>
        <v>16688.250124999995</v>
      </c>
      <c r="L6" s="79">
        <f t="shared" si="10"/>
        <v>11125.500083333332</v>
      </c>
      <c r="M6" s="79">
        <f t="shared" si="11"/>
        <v>11125.500083333332</v>
      </c>
      <c r="N6" s="79">
        <f t="shared" si="12"/>
        <v>11125.500083333332</v>
      </c>
      <c r="O6" s="79">
        <f t="shared" si="13"/>
        <v>11125.500083333332</v>
      </c>
      <c r="P6" s="79">
        <f t="shared" si="14"/>
        <v>5562.7500416666662</v>
      </c>
      <c r="Q6" s="79">
        <f t="shared" si="15"/>
        <v>5562.7500416666662</v>
      </c>
      <c r="R6" s="79">
        <f t="shared" si="16"/>
        <v>5562.7500416666662</v>
      </c>
      <c r="S6" s="79"/>
      <c r="T6" s="79">
        <f t="shared" ref="T6:T9" si="21">SUM(I6:R6)</f>
        <v>111255.00083333332</v>
      </c>
      <c r="U6" s="79"/>
      <c r="V6" s="79"/>
      <c r="W6" s="79"/>
      <c r="X6" s="79"/>
      <c r="Y6" s="79">
        <f t="shared" si="17"/>
        <v>0</v>
      </c>
      <c r="Z6" s="79">
        <f t="shared" si="18"/>
        <v>0</v>
      </c>
      <c r="AA6" s="79">
        <f t="shared" si="19"/>
        <v>7249.8230954999972</v>
      </c>
      <c r="AB6" s="79"/>
      <c r="AC6" s="79"/>
      <c r="AD6" s="79"/>
      <c r="AE6" s="79">
        <f t="shared" si="20"/>
        <v>4005.1800299999991</v>
      </c>
      <c r="AF6" s="70"/>
      <c r="AG6" s="79">
        <f t="shared" ref="AG6:AG7" si="22">V6+X6+Y6+Z6+AA6+AB6+AE6-W6</f>
        <v>11255.003125499996</v>
      </c>
      <c r="AH6" s="70"/>
      <c r="AI6" s="79">
        <f t="shared" ref="AI6:AI7" si="23">T6-AG6</f>
        <v>99999.997707833332</v>
      </c>
      <c r="AJ6" s="70"/>
      <c r="AM6" s="70"/>
      <c r="AN6" s="158"/>
      <c r="AO6" s="158"/>
      <c r="AP6" s="158"/>
      <c r="AQ6" s="158"/>
      <c r="AR6" s="159"/>
      <c r="AU6" s="160"/>
      <c r="AV6" s="160"/>
      <c r="AW6" s="161"/>
      <c r="AX6" s="70"/>
      <c r="AY6" s="70"/>
      <c r="AZ6" s="70"/>
      <c r="BA6" s="70"/>
      <c r="BB6" s="70"/>
      <c r="BC6" s="70"/>
      <c r="BD6" s="70"/>
      <c r="BE6" s="70"/>
      <c r="BF6" s="158"/>
      <c r="BG6" s="158"/>
      <c r="BH6" s="70"/>
      <c r="BI6" s="70"/>
      <c r="BJ6" s="158"/>
    </row>
    <row r="7" spans="1:62" s="157" customFormat="1" x14ac:dyDescent="0.35">
      <c r="A7" s="154">
        <f t="shared" ref="A7:A16" si="24">A6+1</f>
        <v>3</v>
      </c>
      <c r="B7" s="155" t="str">
        <f t="shared" si="0"/>
        <v>Akpan Salawu</v>
      </c>
      <c r="C7" s="155" t="str">
        <f t="shared" si="1"/>
        <v>General Manager</v>
      </c>
      <c r="D7" s="155" t="str">
        <f t="shared" si="2"/>
        <v>ENGINEERING</v>
      </c>
      <c r="E7" s="155" t="str">
        <f t="shared" si="3"/>
        <v>Sample Bank Plc</v>
      </c>
      <c r="F7" s="156" t="str">
        <f t="shared" si="4"/>
        <v>00045879090</v>
      </c>
      <c r="G7" s="155" t="str">
        <f t="shared" si="5"/>
        <v>SAMPLE PFA</v>
      </c>
      <c r="H7" s="155" t="str">
        <f t="shared" si="6"/>
        <v>PINSAMPLE003</v>
      </c>
      <c r="I7" s="79">
        <f t="shared" si="7"/>
        <v>70000</v>
      </c>
      <c r="J7" s="79">
        <f t="shared" si="8"/>
        <v>70000</v>
      </c>
      <c r="K7" s="79">
        <f t="shared" si="9"/>
        <v>70000</v>
      </c>
      <c r="L7" s="79">
        <f t="shared" si="10"/>
        <v>46666.666666666664</v>
      </c>
      <c r="M7" s="79">
        <f t="shared" si="11"/>
        <v>46666.666666666664</v>
      </c>
      <c r="N7" s="79">
        <f t="shared" si="12"/>
        <v>46666.666666666664</v>
      </c>
      <c r="O7" s="79">
        <f t="shared" si="13"/>
        <v>46666.666666666664</v>
      </c>
      <c r="P7" s="79">
        <f t="shared" si="14"/>
        <v>23333.333333333332</v>
      </c>
      <c r="Q7" s="79">
        <f t="shared" si="15"/>
        <v>23333.333333333332</v>
      </c>
      <c r="R7" s="79">
        <f t="shared" si="16"/>
        <v>23333.333333333332</v>
      </c>
      <c r="S7" s="79"/>
      <c r="T7" s="79">
        <f t="shared" si="21"/>
        <v>466666.66666666663</v>
      </c>
      <c r="U7" s="79"/>
      <c r="V7" s="79"/>
      <c r="W7" s="79"/>
      <c r="Y7" s="79">
        <f t="shared" si="17"/>
        <v>0</v>
      </c>
      <c r="Z7" s="79">
        <f t="shared" si="18"/>
        <v>0</v>
      </c>
      <c r="AA7" s="79">
        <f t="shared" si="19"/>
        <v>64234.666666666664</v>
      </c>
      <c r="AB7" s="79"/>
      <c r="AC7" s="79"/>
      <c r="AD7" s="79"/>
      <c r="AE7" s="79">
        <f t="shared" si="20"/>
        <v>16800</v>
      </c>
      <c r="AF7" s="70"/>
      <c r="AG7" s="79">
        <f t="shared" si="22"/>
        <v>81034.666666666657</v>
      </c>
      <c r="AH7" s="70"/>
      <c r="AI7" s="79">
        <f t="shared" si="23"/>
        <v>385632</v>
      </c>
      <c r="AJ7" s="70"/>
      <c r="AM7" s="70"/>
      <c r="AN7" s="158"/>
      <c r="AO7" s="158"/>
      <c r="AP7" s="158"/>
      <c r="AQ7" s="158"/>
      <c r="AR7" s="159"/>
      <c r="AU7" s="160"/>
      <c r="AV7" s="160"/>
      <c r="AW7" s="161"/>
      <c r="AX7" s="70"/>
      <c r="AY7" s="70"/>
      <c r="AZ7" s="70"/>
      <c r="BA7" s="70"/>
      <c r="BB7" s="70"/>
      <c r="BC7" s="70"/>
      <c r="BD7" s="70"/>
      <c r="BE7" s="70"/>
      <c r="BF7" s="158"/>
      <c r="BG7" s="158"/>
      <c r="BH7" s="70"/>
      <c r="BI7" s="70"/>
      <c r="BJ7" s="158"/>
    </row>
    <row r="8" spans="1:62" s="157" customFormat="1" x14ac:dyDescent="0.35">
      <c r="A8" s="154">
        <f t="shared" si="24"/>
        <v>4</v>
      </c>
      <c r="B8" s="155" t="str">
        <f t="shared" si="0"/>
        <v>Queen Amachree</v>
      </c>
      <c r="C8" s="155" t="str">
        <f t="shared" si="1"/>
        <v>Officer</v>
      </c>
      <c r="D8" s="155" t="str">
        <f t="shared" si="2"/>
        <v>FINANCE</v>
      </c>
      <c r="E8" s="155" t="str">
        <f t="shared" si="3"/>
        <v>Sample Bank Plc</v>
      </c>
      <c r="F8" s="156" t="str">
        <f t="shared" si="4"/>
        <v>00045879091</v>
      </c>
      <c r="G8" s="155" t="str">
        <f t="shared" si="5"/>
        <v>SAMPLE PFA</v>
      </c>
      <c r="H8" s="155" t="str">
        <f t="shared" si="6"/>
        <v>PINSAMPLE004</v>
      </c>
      <c r="I8" s="79">
        <f t="shared" si="7"/>
        <v>10426.89440375</v>
      </c>
      <c r="J8" s="79">
        <f t="shared" si="8"/>
        <v>10426.89440375</v>
      </c>
      <c r="K8" s="79">
        <f t="shared" si="9"/>
        <v>10426.89440375</v>
      </c>
      <c r="L8" s="79">
        <f t="shared" si="10"/>
        <v>6951.2629358333352</v>
      </c>
      <c r="M8" s="79">
        <f t="shared" si="11"/>
        <v>6951.2629358333352</v>
      </c>
      <c r="N8" s="79">
        <f t="shared" si="12"/>
        <v>6951.2629358333352</v>
      </c>
      <c r="O8" s="79">
        <f t="shared" si="13"/>
        <v>6951.2629358333352</v>
      </c>
      <c r="P8" s="79">
        <f t="shared" si="14"/>
        <v>3475.6314679166676</v>
      </c>
      <c r="Q8" s="79">
        <f t="shared" si="15"/>
        <v>3475.6314679166676</v>
      </c>
      <c r="R8" s="79">
        <f t="shared" si="16"/>
        <v>3475.6314679166676</v>
      </c>
      <c r="S8" s="79"/>
      <c r="T8" s="79">
        <f t="shared" si="21"/>
        <v>69512.629358333346</v>
      </c>
      <c r="U8" s="79"/>
      <c r="V8" s="79"/>
      <c r="W8" s="79"/>
      <c r="X8" s="79"/>
      <c r="Y8" s="79">
        <f t="shared" ref="Y8:Y9" si="25">VLOOKUP(A8,SECA,25,FALSE)/12</f>
        <v>0</v>
      </c>
      <c r="Z8" s="79">
        <f t="shared" ref="Z8:Z9" si="26">VLOOKUP(A8,SECA,26,FALSE)/12</f>
        <v>0</v>
      </c>
      <c r="AA8" s="79">
        <f t="shared" ref="AA8:AA9" si="27">VLOOKUP(A8,SECA,59,FALSE)</f>
        <v>3008.5080379410006</v>
      </c>
      <c r="AB8" s="79"/>
      <c r="AC8" s="79"/>
      <c r="AD8" s="79"/>
      <c r="AE8" s="79">
        <f t="shared" ref="AE8:AE9" si="28">VLOOKUP(A8,SECA,31,FALSE)/12</f>
        <v>2502.4546569000004</v>
      </c>
      <c r="AF8" s="70"/>
      <c r="AG8" s="79">
        <f t="shared" ref="AG8:AG9" si="29">V8+X8+Y8+Z8+AA8+AB8+AE8-W8</f>
        <v>5510.9626948410005</v>
      </c>
      <c r="AH8" s="70"/>
      <c r="AI8" s="79">
        <f>(T8-AG8)</f>
        <v>64001.666663492346</v>
      </c>
      <c r="AJ8" s="70"/>
      <c r="AM8" s="70"/>
      <c r="AN8" s="158"/>
      <c r="AO8" s="158"/>
      <c r="AP8" s="158"/>
      <c r="AQ8" s="158"/>
      <c r="AR8" s="159"/>
      <c r="AU8" s="160"/>
      <c r="AV8" s="160"/>
      <c r="AW8" s="161"/>
      <c r="AX8" s="70"/>
      <c r="AY8" s="70"/>
      <c r="AZ8" s="70"/>
      <c r="BA8" s="70"/>
      <c r="BB8" s="70"/>
      <c r="BC8" s="70"/>
      <c r="BD8" s="70"/>
      <c r="BE8" s="70"/>
      <c r="BF8" s="158"/>
      <c r="BG8" s="158"/>
      <c r="BH8" s="70"/>
      <c r="BI8" s="70"/>
      <c r="BJ8" s="158"/>
    </row>
    <row r="9" spans="1:62" s="157" customFormat="1" x14ac:dyDescent="0.35">
      <c r="A9" s="154">
        <f t="shared" si="24"/>
        <v>5</v>
      </c>
      <c r="B9" s="155" t="str">
        <f t="shared" si="0"/>
        <v>Chukwuemema Buhari</v>
      </c>
      <c r="C9" s="155" t="str">
        <f t="shared" si="1"/>
        <v>SBI2</v>
      </c>
      <c r="D9" s="155" t="str">
        <f t="shared" si="2"/>
        <v>FINANCE</v>
      </c>
      <c r="E9" s="155" t="str">
        <f t="shared" si="3"/>
        <v>Sample Bank Plc</v>
      </c>
      <c r="F9" s="156" t="str">
        <f t="shared" si="4"/>
        <v>00045879092</v>
      </c>
      <c r="G9" s="155" t="str">
        <f t="shared" si="5"/>
        <v>SAMPLE PFA</v>
      </c>
      <c r="H9" s="155" t="str">
        <f t="shared" si="6"/>
        <v>PINSAMPLE005</v>
      </c>
      <c r="I9" s="79">
        <f t="shared" si="7"/>
        <v>25676.566624999996</v>
      </c>
      <c r="J9" s="79">
        <f t="shared" si="8"/>
        <v>25676.566624999996</v>
      </c>
      <c r="K9" s="79">
        <f t="shared" si="9"/>
        <v>25676.566624999996</v>
      </c>
      <c r="L9" s="79">
        <f t="shared" si="10"/>
        <v>17117.711083333332</v>
      </c>
      <c r="M9" s="79">
        <f t="shared" si="11"/>
        <v>17117.711083333332</v>
      </c>
      <c r="N9" s="79">
        <f t="shared" si="12"/>
        <v>17117.711083333332</v>
      </c>
      <c r="O9" s="79">
        <f t="shared" si="13"/>
        <v>17117.711083333332</v>
      </c>
      <c r="P9" s="79">
        <f t="shared" si="14"/>
        <v>8558.8555416666659</v>
      </c>
      <c r="Q9" s="79">
        <f t="shared" si="15"/>
        <v>8558.8555416666659</v>
      </c>
      <c r="R9" s="79">
        <f t="shared" si="16"/>
        <v>8558.8555416666659</v>
      </c>
      <c r="S9" s="79"/>
      <c r="T9" s="79">
        <f t="shared" si="21"/>
        <v>171177.11083333334</v>
      </c>
      <c r="U9" s="79"/>
      <c r="V9" s="79"/>
      <c r="W9" s="79"/>
      <c r="X9" s="79"/>
      <c r="Y9" s="79">
        <f t="shared" si="25"/>
        <v>0</v>
      </c>
      <c r="Z9" s="79">
        <f t="shared" si="26"/>
        <v>0</v>
      </c>
      <c r="AA9" s="79">
        <f t="shared" si="27"/>
        <v>15014.736075233332</v>
      </c>
      <c r="AB9" s="79"/>
      <c r="AC9" s="79"/>
      <c r="AD9" s="79"/>
      <c r="AE9" s="79">
        <f t="shared" si="28"/>
        <v>6162.3759899999995</v>
      </c>
      <c r="AF9" s="70"/>
      <c r="AG9" s="79">
        <f t="shared" si="29"/>
        <v>21177.11206523333</v>
      </c>
      <c r="AH9" s="70"/>
      <c r="AI9" s="79">
        <f>(T9-AG9)</f>
        <v>149999.99876810002</v>
      </c>
      <c r="AJ9" s="70"/>
      <c r="AM9" s="70"/>
      <c r="AN9" s="158"/>
      <c r="AO9" s="158"/>
      <c r="AP9" s="158"/>
      <c r="AQ9" s="158"/>
      <c r="AR9" s="159"/>
      <c r="AU9" s="160"/>
      <c r="AV9" s="160"/>
      <c r="AW9" s="161"/>
      <c r="AX9" s="70"/>
      <c r="AY9" s="70"/>
      <c r="AZ9" s="70"/>
      <c r="BA9" s="70"/>
      <c r="BB9" s="70"/>
      <c r="BC9" s="70"/>
      <c r="BD9" s="70"/>
      <c r="BE9" s="70"/>
      <c r="BF9" s="158"/>
      <c r="BG9" s="158"/>
      <c r="BH9" s="70"/>
      <c r="BI9" s="70"/>
      <c r="BJ9" s="158"/>
    </row>
    <row r="10" spans="1:62" s="157" customFormat="1" x14ac:dyDescent="0.35">
      <c r="A10" s="154">
        <f t="shared" si="24"/>
        <v>6</v>
      </c>
      <c r="B10" s="155" t="str">
        <f t="shared" ref="B10:B16" si="30">VLOOKUP(A10,SECA,6,FALSE)</f>
        <v>Prisca John</v>
      </c>
      <c r="C10" s="155" t="str">
        <f t="shared" ref="C10:C16" si="31">VLOOKUP(A10,SECA,7,FALSE)</f>
        <v>Deputy Manager</v>
      </c>
      <c r="D10" s="155" t="str">
        <f t="shared" ref="D10:D16" si="32">VLOOKUP(A10,SECA,8,FALSE)</f>
        <v>FINANCE</v>
      </c>
      <c r="E10" s="155" t="str">
        <f t="shared" ref="E10:E16" si="33">VLOOKUP(A10,SECA,9,FALSE)</f>
        <v>Sample Bank Plc</v>
      </c>
      <c r="F10" s="156" t="str">
        <f t="shared" ref="F10:F16" si="34">VLOOKUP(A10,SECA,10,FALSE)</f>
        <v>00045879093</v>
      </c>
      <c r="G10" s="155" t="str">
        <f t="shared" ref="G10:G16" si="35">VLOOKUP(A10,SECA,11,FALSE)</f>
        <v>SAMPLE PFA</v>
      </c>
      <c r="H10" s="155" t="str">
        <f t="shared" ref="H10:H16" si="36">VLOOKUP(A10,SECA,12,FALSE)</f>
        <v>PINSAMPLE006</v>
      </c>
      <c r="I10" s="79">
        <f t="shared" ref="I10:I16" si="37">VLOOKUP(A10,SECA,13,FALSE)/12</f>
        <v>40000</v>
      </c>
      <c r="J10" s="79">
        <f t="shared" ref="J10:J16" si="38">VLOOKUP(A10,SECA,14,FALSE)/12</f>
        <v>40000</v>
      </c>
      <c r="K10" s="79">
        <f t="shared" ref="K10:K16" si="39">VLOOKUP(A10,SECA,15,FALSE)/12</f>
        <v>40000</v>
      </c>
      <c r="L10" s="79">
        <f t="shared" ref="L10:L16" si="40">VLOOKUP(A10,SECA,16,FALSE)/12</f>
        <v>26666.666666666668</v>
      </c>
      <c r="M10" s="79">
        <f t="shared" ref="M10:M16" si="41">VLOOKUP(A10,SECA,17,FALSE)/12</f>
        <v>26666.666666666668</v>
      </c>
      <c r="N10" s="79">
        <f t="shared" ref="N10:N16" si="42">VLOOKUP(A10,SECA,18,FALSE)/12</f>
        <v>26666.666666666668</v>
      </c>
      <c r="O10" s="79">
        <f t="shared" ref="O10:O16" si="43">VLOOKUP(A10,SECA,19,FALSE)/12</f>
        <v>26666.666666666668</v>
      </c>
      <c r="P10" s="79">
        <f t="shared" ref="P10:P16" si="44">VLOOKUP(A10,SECA,20,FALSE)/12</f>
        <v>13333.333333333334</v>
      </c>
      <c r="Q10" s="79">
        <f t="shared" ref="Q10:Q16" si="45">VLOOKUP(A10,SECA,21,FALSE)/12</f>
        <v>13333.333333333334</v>
      </c>
      <c r="R10" s="79">
        <f t="shared" ref="R10:R16" si="46">VLOOKUP(A10,SECA,22,FALSE)/12</f>
        <v>13333.333333333334</v>
      </c>
      <c r="S10" s="79"/>
      <c r="T10" s="79">
        <f t="shared" ref="T10:T16" si="47">SUM(I10:R10)</f>
        <v>266666.66666666663</v>
      </c>
      <c r="U10" s="79"/>
      <c r="V10" s="79"/>
      <c r="W10" s="79"/>
      <c r="X10" s="79"/>
      <c r="Y10" s="79">
        <f t="shared" ref="Y10:Y16" si="48">VLOOKUP(A10,SECA,25,FALSE)/12</f>
        <v>0</v>
      </c>
      <c r="Z10" s="79">
        <f t="shared" ref="Z10:Z16" si="49">VLOOKUP(A10,SECA,26,FALSE)/12</f>
        <v>0</v>
      </c>
      <c r="AA10" s="79">
        <f t="shared" ref="AA10:AA16" si="50">VLOOKUP(A10,SECA,59,FALSE)</f>
        <v>29950.666666666668</v>
      </c>
      <c r="AB10" s="79"/>
      <c r="AC10" s="79"/>
      <c r="AD10" s="79"/>
      <c r="AE10" s="79">
        <f t="shared" ref="AE10:AE16" si="51">VLOOKUP(A10,SECA,31,FALSE)/12</f>
        <v>9600</v>
      </c>
      <c r="AF10" s="70"/>
      <c r="AG10" s="79">
        <f t="shared" ref="AG10:AG16" si="52">V10+X10+Y10+Z10+AA10+AB10+AE10-W10</f>
        <v>39550.666666666672</v>
      </c>
      <c r="AH10" s="70"/>
      <c r="AI10" s="79">
        <f t="shared" ref="AI10:AI16" si="53">(T10-AG10)</f>
        <v>227115.99999999994</v>
      </c>
      <c r="AJ10" s="70"/>
      <c r="AM10" s="70"/>
      <c r="AN10" s="158"/>
      <c r="AO10" s="158"/>
      <c r="AP10" s="158"/>
      <c r="AQ10" s="158"/>
      <c r="AR10" s="159"/>
      <c r="AU10" s="160"/>
      <c r="AV10" s="160"/>
      <c r="AW10" s="161"/>
      <c r="AX10" s="70"/>
      <c r="AY10" s="70"/>
      <c r="AZ10" s="70"/>
      <c r="BA10" s="70"/>
      <c r="BB10" s="70"/>
      <c r="BC10" s="70"/>
      <c r="BD10" s="70"/>
      <c r="BE10" s="70"/>
      <c r="BF10" s="158"/>
      <c r="BG10" s="158"/>
      <c r="BH10" s="70"/>
      <c r="BI10" s="70"/>
      <c r="BJ10" s="158"/>
    </row>
    <row r="11" spans="1:62" s="157" customFormat="1" x14ac:dyDescent="0.35">
      <c r="A11" s="154">
        <f t="shared" si="24"/>
        <v>7</v>
      </c>
      <c r="B11" s="155" t="str">
        <f t="shared" si="30"/>
        <v>Bobo Samba</v>
      </c>
      <c r="C11" s="155" t="str">
        <f t="shared" si="31"/>
        <v>SBI2</v>
      </c>
      <c r="D11" s="155" t="str">
        <f t="shared" si="32"/>
        <v>MARKETING</v>
      </c>
      <c r="E11" s="155" t="str">
        <f t="shared" si="33"/>
        <v>Sample Bank Plc</v>
      </c>
      <c r="F11" s="156" t="str">
        <f t="shared" si="34"/>
        <v>00045879094</v>
      </c>
      <c r="G11" s="155" t="str">
        <f t="shared" si="35"/>
        <v>SAMPLE PFA</v>
      </c>
      <c r="H11" s="155" t="str">
        <f t="shared" si="36"/>
        <v>PINSAMPLE007</v>
      </c>
      <c r="I11" s="79">
        <f t="shared" si="37"/>
        <v>25676.566624999996</v>
      </c>
      <c r="J11" s="79">
        <f t="shared" si="38"/>
        <v>25676.566624999996</v>
      </c>
      <c r="K11" s="79">
        <f t="shared" si="39"/>
        <v>25676.566624999996</v>
      </c>
      <c r="L11" s="79">
        <f t="shared" si="40"/>
        <v>17117.711083333332</v>
      </c>
      <c r="M11" s="79">
        <f t="shared" si="41"/>
        <v>17117.711083333332</v>
      </c>
      <c r="N11" s="79">
        <f t="shared" si="42"/>
        <v>17117.711083333332</v>
      </c>
      <c r="O11" s="79">
        <f t="shared" si="43"/>
        <v>17117.711083333332</v>
      </c>
      <c r="P11" s="79">
        <f t="shared" si="44"/>
        <v>8558.8555416666659</v>
      </c>
      <c r="Q11" s="79">
        <f t="shared" si="45"/>
        <v>8558.8555416666659</v>
      </c>
      <c r="R11" s="79">
        <f t="shared" si="46"/>
        <v>8558.8555416666659</v>
      </c>
      <c r="S11" s="79"/>
      <c r="T11" s="79">
        <f t="shared" si="47"/>
        <v>171177.11083333334</v>
      </c>
      <c r="U11" s="79"/>
      <c r="V11" s="79"/>
      <c r="W11" s="79"/>
      <c r="X11" s="79"/>
      <c r="Y11" s="79">
        <f t="shared" si="48"/>
        <v>0</v>
      </c>
      <c r="Z11" s="79">
        <f t="shared" si="49"/>
        <v>0</v>
      </c>
      <c r="AA11" s="79">
        <f t="shared" si="50"/>
        <v>15014.736075233332</v>
      </c>
      <c r="AB11" s="79"/>
      <c r="AC11" s="79"/>
      <c r="AD11" s="79"/>
      <c r="AE11" s="79">
        <f t="shared" si="51"/>
        <v>6162.3759899999995</v>
      </c>
      <c r="AF11" s="70"/>
      <c r="AG11" s="79">
        <f t="shared" si="52"/>
        <v>21177.11206523333</v>
      </c>
      <c r="AH11" s="70"/>
      <c r="AI11" s="79">
        <f t="shared" si="53"/>
        <v>149999.99876810002</v>
      </c>
      <c r="AJ11" s="70"/>
      <c r="AM11" s="70"/>
      <c r="AN11" s="158"/>
      <c r="AO11" s="158"/>
      <c r="AP11" s="158"/>
      <c r="AQ11" s="158"/>
      <c r="AR11" s="159"/>
      <c r="AU11" s="160"/>
      <c r="AV11" s="160"/>
      <c r="AW11" s="161"/>
      <c r="AX11" s="70"/>
      <c r="AY11" s="70"/>
      <c r="AZ11" s="70"/>
      <c r="BA11" s="70"/>
      <c r="BB11" s="70"/>
      <c r="BC11" s="70"/>
      <c r="BD11" s="70"/>
      <c r="BE11" s="70"/>
      <c r="BF11" s="158"/>
      <c r="BG11" s="158"/>
      <c r="BH11" s="70"/>
      <c r="BI11" s="70"/>
      <c r="BJ11" s="158"/>
    </row>
    <row r="12" spans="1:62" s="157" customFormat="1" x14ac:dyDescent="0.35">
      <c r="A12" s="154">
        <f t="shared" si="24"/>
        <v>8</v>
      </c>
      <c r="B12" s="155" t="str">
        <f t="shared" si="30"/>
        <v>Jimoh Chinedu</v>
      </c>
      <c r="C12" s="155" t="str">
        <f t="shared" si="31"/>
        <v>SBI2</v>
      </c>
      <c r="D12" s="155" t="str">
        <f t="shared" si="32"/>
        <v>MARKETING</v>
      </c>
      <c r="E12" s="155" t="str">
        <f t="shared" si="33"/>
        <v>Sample Bank Plc</v>
      </c>
      <c r="F12" s="156" t="str">
        <f t="shared" si="34"/>
        <v>00045879095</v>
      </c>
      <c r="G12" s="155" t="str">
        <f t="shared" si="35"/>
        <v>SAMPLE PFA</v>
      </c>
      <c r="H12" s="155" t="str">
        <f t="shared" si="36"/>
        <v>PINSAMPLE008</v>
      </c>
      <c r="I12" s="79">
        <f t="shared" si="37"/>
        <v>25676.566624999996</v>
      </c>
      <c r="J12" s="79">
        <f t="shared" si="38"/>
        <v>25676.566624999996</v>
      </c>
      <c r="K12" s="79">
        <f t="shared" si="39"/>
        <v>25676.566624999996</v>
      </c>
      <c r="L12" s="79">
        <f t="shared" si="40"/>
        <v>17117.711083333332</v>
      </c>
      <c r="M12" s="79">
        <f t="shared" si="41"/>
        <v>17117.711083333332</v>
      </c>
      <c r="N12" s="79">
        <f t="shared" si="42"/>
        <v>17117.711083333332</v>
      </c>
      <c r="O12" s="79">
        <f t="shared" si="43"/>
        <v>17117.711083333332</v>
      </c>
      <c r="P12" s="79">
        <f t="shared" si="44"/>
        <v>8558.8555416666659</v>
      </c>
      <c r="Q12" s="79">
        <f t="shared" si="45"/>
        <v>8558.8555416666659</v>
      </c>
      <c r="R12" s="79">
        <f t="shared" si="46"/>
        <v>8558.8555416666659</v>
      </c>
      <c r="S12" s="79"/>
      <c r="T12" s="79">
        <f t="shared" si="47"/>
        <v>171177.11083333334</v>
      </c>
      <c r="U12" s="79"/>
      <c r="V12" s="79"/>
      <c r="W12" s="79"/>
      <c r="X12" s="79"/>
      <c r="Y12" s="79">
        <f t="shared" si="48"/>
        <v>0</v>
      </c>
      <c r="Z12" s="79">
        <f t="shared" si="49"/>
        <v>0</v>
      </c>
      <c r="AA12" s="79">
        <f t="shared" si="50"/>
        <v>15014.736075233332</v>
      </c>
      <c r="AB12" s="79"/>
      <c r="AC12" s="79"/>
      <c r="AD12" s="79"/>
      <c r="AE12" s="79">
        <f t="shared" si="51"/>
        <v>6162.3759899999995</v>
      </c>
      <c r="AF12" s="70"/>
      <c r="AG12" s="79">
        <f t="shared" si="52"/>
        <v>21177.11206523333</v>
      </c>
      <c r="AH12" s="70"/>
      <c r="AI12" s="79">
        <f t="shared" si="53"/>
        <v>149999.99876810002</v>
      </c>
      <c r="AJ12" s="70"/>
      <c r="AM12" s="70"/>
      <c r="AN12" s="158"/>
      <c r="AO12" s="158"/>
      <c r="AP12" s="158"/>
      <c r="AQ12" s="158"/>
      <c r="AR12" s="159"/>
      <c r="AU12" s="160"/>
      <c r="AV12" s="160"/>
      <c r="AW12" s="161"/>
      <c r="AX12" s="70"/>
      <c r="AY12" s="70"/>
      <c r="AZ12" s="70"/>
      <c r="BA12" s="70"/>
      <c r="BB12" s="70"/>
      <c r="BC12" s="70"/>
      <c r="BD12" s="70"/>
      <c r="BE12" s="70"/>
      <c r="BF12" s="158"/>
      <c r="BG12" s="158"/>
      <c r="BH12" s="70"/>
      <c r="BI12" s="70"/>
      <c r="BJ12" s="158"/>
    </row>
    <row r="13" spans="1:62" s="157" customFormat="1" x14ac:dyDescent="0.35">
      <c r="A13" s="154">
        <f t="shared" si="24"/>
        <v>9</v>
      </c>
      <c r="B13" s="155" t="str">
        <f t="shared" si="30"/>
        <v>Simon Ibrahim</v>
      </c>
      <c r="C13" s="155" t="str">
        <f t="shared" si="31"/>
        <v>SBI2</v>
      </c>
      <c r="D13" s="155" t="str">
        <f t="shared" si="32"/>
        <v>MARKETING</v>
      </c>
      <c r="E13" s="155" t="str">
        <f t="shared" si="33"/>
        <v>Sample Bank Plc</v>
      </c>
      <c r="F13" s="156" t="str">
        <f t="shared" si="34"/>
        <v>00045879096</v>
      </c>
      <c r="G13" s="155" t="str">
        <f t="shared" si="35"/>
        <v>SAMPLE PFA</v>
      </c>
      <c r="H13" s="155" t="str">
        <f t="shared" si="36"/>
        <v>PINSAMPLE009</v>
      </c>
      <c r="I13" s="79">
        <f t="shared" si="37"/>
        <v>25676.566624999996</v>
      </c>
      <c r="J13" s="79">
        <f t="shared" si="38"/>
        <v>25676.566624999996</v>
      </c>
      <c r="K13" s="79">
        <f t="shared" si="39"/>
        <v>25676.566624999996</v>
      </c>
      <c r="L13" s="79">
        <f t="shared" si="40"/>
        <v>17117.711083333332</v>
      </c>
      <c r="M13" s="79">
        <f t="shared" si="41"/>
        <v>17117.711083333332</v>
      </c>
      <c r="N13" s="79">
        <f t="shared" si="42"/>
        <v>17117.711083333332</v>
      </c>
      <c r="O13" s="79">
        <f t="shared" si="43"/>
        <v>17117.711083333332</v>
      </c>
      <c r="P13" s="79">
        <f t="shared" si="44"/>
        <v>8558.8555416666659</v>
      </c>
      <c r="Q13" s="79">
        <f t="shared" si="45"/>
        <v>8558.8555416666659</v>
      </c>
      <c r="R13" s="79">
        <f t="shared" si="46"/>
        <v>8558.8555416666659</v>
      </c>
      <c r="S13" s="79"/>
      <c r="T13" s="79">
        <f t="shared" si="47"/>
        <v>171177.11083333334</v>
      </c>
      <c r="U13" s="79"/>
      <c r="V13" s="79"/>
      <c r="W13" s="79"/>
      <c r="X13" s="79"/>
      <c r="Y13" s="79">
        <f t="shared" si="48"/>
        <v>0</v>
      </c>
      <c r="Z13" s="79">
        <f t="shared" si="49"/>
        <v>0</v>
      </c>
      <c r="AA13" s="79">
        <f t="shared" si="50"/>
        <v>15014.736075233332</v>
      </c>
      <c r="AB13" s="79"/>
      <c r="AC13" s="79"/>
      <c r="AD13" s="79"/>
      <c r="AE13" s="79">
        <f t="shared" si="51"/>
        <v>6162.3759899999995</v>
      </c>
      <c r="AF13" s="70"/>
      <c r="AG13" s="79">
        <f t="shared" si="52"/>
        <v>21177.11206523333</v>
      </c>
      <c r="AH13" s="70"/>
      <c r="AI13" s="79">
        <f t="shared" si="53"/>
        <v>149999.99876810002</v>
      </c>
      <c r="AJ13" s="70"/>
      <c r="AM13" s="70"/>
      <c r="AN13" s="158"/>
      <c r="AO13" s="158"/>
      <c r="AP13" s="158"/>
      <c r="AQ13" s="158"/>
      <c r="AR13" s="159"/>
      <c r="AU13" s="160"/>
      <c r="AV13" s="160"/>
      <c r="AW13" s="161"/>
      <c r="AX13" s="70"/>
      <c r="AY13" s="70"/>
      <c r="AZ13" s="70"/>
      <c r="BA13" s="70"/>
      <c r="BB13" s="70"/>
      <c r="BC13" s="70"/>
      <c r="BD13" s="70"/>
      <c r="BE13" s="70"/>
      <c r="BF13" s="158"/>
      <c r="BG13" s="158"/>
      <c r="BH13" s="70"/>
      <c r="BI13" s="70"/>
      <c r="BJ13" s="158"/>
    </row>
    <row r="14" spans="1:62" s="157" customFormat="1" x14ac:dyDescent="0.35">
      <c r="A14" s="154">
        <f t="shared" si="24"/>
        <v>10</v>
      </c>
      <c r="B14" s="155" t="str">
        <f t="shared" si="30"/>
        <v>Amaka Raji</v>
      </c>
      <c r="C14" s="155" t="str">
        <f t="shared" si="31"/>
        <v>Deputy Manager</v>
      </c>
      <c r="D14" s="155" t="str">
        <f t="shared" si="32"/>
        <v>OPERATIONS</v>
      </c>
      <c r="E14" s="155" t="str">
        <f t="shared" si="33"/>
        <v>Sample Bank Plc</v>
      </c>
      <c r="F14" s="156" t="str">
        <f t="shared" si="34"/>
        <v>00045879097</v>
      </c>
      <c r="G14" s="155" t="str">
        <f t="shared" si="35"/>
        <v>SAMPLE PFA</v>
      </c>
      <c r="H14" s="155" t="str">
        <f t="shared" si="36"/>
        <v>PINSAMPLE010</v>
      </c>
      <c r="I14" s="79">
        <f t="shared" si="37"/>
        <v>40000</v>
      </c>
      <c r="J14" s="79">
        <f t="shared" si="38"/>
        <v>40000</v>
      </c>
      <c r="K14" s="79">
        <f t="shared" si="39"/>
        <v>40000</v>
      </c>
      <c r="L14" s="79">
        <f t="shared" si="40"/>
        <v>26666.666666666668</v>
      </c>
      <c r="M14" s="79">
        <f t="shared" si="41"/>
        <v>26666.666666666668</v>
      </c>
      <c r="N14" s="79">
        <f t="shared" si="42"/>
        <v>26666.666666666668</v>
      </c>
      <c r="O14" s="79">
        <f t="shared" si="43"/>
        <v>26666.666666666668</v>
      </c>
      <c r="P14" s="79">
        <f t="shared" si="44"/>
        <v>13333.333333333334</v>
      </c>
      <c r="Q14" s="79">
        <f t="shared" si="45"/>
        <v>13333.333333333334</v>
      </c>
      <c r="R14" s="79">
        <f t="shared" si="46"/>
        <v>13333.333333333334</v>
      </c>
      <c r="S14" s="79"/>
      <c r="T14" s="79">
        <f t="shared" si="47"/>
        <v>266666.66666666663</v>
      </c>
      <c r="U14" s="79"/>
      <c r="V14" s="79"/>
      <c r="W14" s="79"/>
      <c r="X14" s="79"/>
      <c r="Y14" s="79">
        <f t="shared" si="48"/>
        <v>0</v>
      </c>
      <c r="Z14" s="79">
        <f t="shared" si="49"/>
        <v>0</v>
      </c>
      <c r="AA14" s="79">
        <f t="shared" si="50"/>
        <v>29950.666666666668</v>
      </c>
      <c r="AB14" s="79"/>
      <c r="AC14" s="79"/>
      <c r="AD14" s="79"/>
      <c r="AE14" s="79">
        <f t="shared" si="51"/>
        <v>9600</v>
      </c>
      <c r="AF14" s="70"/>
      <c r="AG14" s="79">
        <f t="shared" si="52"/>
        <v>39550.666666666672</v>
      </c>
      <c r="AH14" s="70"/>
      <c r="AI14" s="79">
        <f t="shared" si="53"/>
        <v>227115.99999999994</v>
      </c>
      <c r="AJ14" s="70"/>
      <c r="AM14" s="70"/>
      <c r="AN14" s="158"/>
      <c r="AO14" s="158"/>
      <c r="AP14" s="158"/>
      <c r="AQ14" s="158"/>
      <c r="AR14" s="159"/>
      <c r="AU14" s="160"/>
      <c r="AV14" s="160"/>
      <c r="AW14" s="161"/>
      <c r="AX14" s="70"/>
      <c r="AY14" s="70"/>
      <c r="AZ14" s="70"/>
      <c r="BA14" s="70"/>
      <c r="BB14" s="70"/>
      <c r="BC14" s="70"/>
      <c r="BD14" s="70"/>
      <c r="BE14" s="70"/>
      <c r="BF14" s="158"/>
      <c r="BG14" s="158"/>
      <c r="BH14" s="70"/>
      <c r="BI14" s="70"/>
      <c r="BJ14" s="158"/>
    </row>
    <row r="15" spans="1:62" s="157" customFormat="1" x14ac:dyDescent="0.35">
      <c r="A15" s="154">
        <f t="shared" si="24"/>
        <v>11</v>
      </c>
      <c r="B15" s="155" t="str">
        <f t="shared" si="30"/>
        <v>Charles Abubakar</v>
      </c>
      <c r="C15" s="155" t="str">
        <f t="shared" si="31"/>
        <v>Deputy Manager</v>
      </c>
      <c r="D15" s="155" t="str">
        <f t="shared" si="32"/>
        <v>OPERATIONS</v>
      </c>
      <c r="E15" s="155" t="str">
        <f t="shared" si="33"/>
        <v>Sample Bank Plc</v>
      </c>
      <c r="F15" s="156" t="str">
        <f t="shared" si="34"/>
        <v>00045879098</v>
      </c>
      <c r="G15" s="155" t="str">
        <f t="shared" si="35"/>
        <v>SAMPLE PFA</v>
      </c>
      <c r="H15" s="155" t="str">
        <f t="shared" si="36"/>
        <v>PINSAMPLE011</v>
      </c>
      <c r="I15" s="79">
        <f t="shared" si="37"/>
        <v>40000</v>
      </c>
      <c r="J15" s="79">
        <f t="shared" si="38"/>
        <v>40000</v>
      </c>
      <c r="K15" s="79">
        <f t="shared" si="39"/>
        <v>40000</v>
      </c>
      <c r="L15" s="79">
        <f t="shared" si="40"/>
        <v>26666.666666666668</v>
      </c>
      <c r="M15" s="79">
        <f t="shared" si="41"/>
        <v>26666.666666666668</v>
      </c>
      <c r="N15" s="79">
        <f t="shared" si="42"/>
        <v>26666.666666666668</v>
      </c>
      <c r="O15" s="79">
        <f t="shared" si="43"/>
        <v>26666.666666666668</v>
      </c>
      <c r="P15" s="79">
        <f t="shared" si="44"/>
        <v>13333.333333333334</v>
      </c>
      <c r="Q15" s="79">
        <f t="shared" si="45"/>
        <v>13333.333333333334</v>
      </c>
      <c r="R15" s="79">
        <f t="shared" si="46"/>
        <v>13333.333333333334</v>
      </c>
      <c r="S15" s="79"/>
      <c r="T15" s="79">
        <f t="shared" si="47"/>
        <v>266666.66666666663</v>
      </c>
      <c r="U15" s="79"/>
      <c r="V15" s="79"/>
      <c r="W15" s="79"/>
      <c r="X15" s="79"/>
      <c r="Y15" s="79">
        <f t="shared" si="48"/>
        <v>0</v>
      </c>
      <c r="Z15" s="79">
        <f t="shared" si="49"/>
        <v>0</v>
      </c>
      <c r="AA15" s="79">
        <f t="shared" si="50"/>
        <v>29950.666666666668</v>
      </c>
      <c r="AB15" s="79"/>
      <c r="AC15" s="79"/>
      <c r="AD15" s="79"/>
      <c r="AE15" s="79">
        <f t="shared" si="51"/>
        <v>9600</v>
      </c>
      <c r="AF15" s="70"/>
      <c r="AG15" s="79">
        <f t="shared" si="52"/>
        <v>39550.666666666672</v>
      </c>
      <c r="AH15" s="70"/>
      <c r="AI15" s="79">
        <f t="shared" si="53"/>
        <v>227115.99999999994</v>
      </c>
      <c r="AJ15" s="70"/>
      <c r="AM15" s="70"/>
      <c r="AN15" s="158"/>
      <c r="AO15" s="158"/>
      <c r="AP15" s="158"/>
      <c r="AQ15" s="158"/>
      <c r="AR15" s="159"/>
      <c r="AU15" s="160"/>
      <c r="AV15" s="160"/>
      <c r="AW15" s="161"/>
      <c r="AX15" s="70"/>
      <c r="AY15" s="70"/>
      <c r="AZ15" s="70"/>
      <c r="BA15" s="70"/>
      <c r="BB15" s="70"/>
      <c r="BC15" s="70"/>
      <c r="BD15" s="70"/>
      <c r="BE15" s="70"/>
      <c r="BF15" s="158"/>
      <c r="BG15" s="158"/>
      <c r="BH15" s="70"/>
      <c r="BI15" s="70"/>
      <c r="BJ15" s="158"/>
    </row>
    <row r="16" spans="1:62" s="157" customFormat="1" x14ac:dyDescent="0.35">
      <c r="A16" s="154">
        <f t="shared" si="24"/>
        <v>12</v>
      </c>
      <c r="B16" s="155" t="str">
        <f t="shared" si="30"/>
        <v>Boma Daudu</v>
      </c>
      <c r="C16" s="155" t="str">
        <f t="shared" si="31"/>
        <v>Deputy Manager</v>
      </c>
      <c r="D16" s="155" t="str">
        <f t="shared" si="32"/>
        <v>OPERATIONS</v>
      </c>
      <c r="E16" s="155" t="str">
        <f t="shared" si="33"/>
        <v>Sample Bank Plc</v>
      </c>
      <c r="F16" s="156" t="str">
        <f t="shared" si="34"/>
        <v>00045879099</v>
      </c>
      <c r="G16" s="155" t="str">
        <f t="shared" si="35"/>
        <v>SAMPLE PFA</v>
      </c>
      <c r="H16" s="155" t="str">
        <f t="shared" si="36"/>
        <v>PINSAMPLE012</v>
      </c>
      <c r="I16" s="79">
        <f t="shared" si="37"/>
        <v>40000</v>
      </c>
      <c r="J16" s="79">
        <f t="shared" si="38"/>
        <v>40000</v>
      </c>
      <c r="K16" s="79">
        <f t="shared" si="39"/>
        <v>40000</v>
      </c>
      <c r="L16" s="79">
        <f t="shared" si="40"/>
        <v>26666.666666666668</v>
      </c>
      <c r="M16" s="79">
        <f t="shared" si="41"/>
        <v>26666.666666666668</v>
      </c>
      <c r="N16" s="79">
        <f t="shared" si="42"/>
        <v>26666.666666666668</v>
      </c>
      <c r="O16" s="79">
        <f t="shared" si="43"/>
        <v>26666.666666666668</v>
      </c>
      <c r="P16" s="79">
        <f t="shared" si="44"/>
        <v>13333.333333333334</v>
      </c>
      <c r="Q16" s="79">
        <f t="shared" si="45"/>
        <v>13333.333333333334</v>
      </c>
      <c r="R16" s="79">
        <f t="shared" si="46"/>
        <v>13333.333333333334</v>
      </c>
      <c r="S16" s="79"/>
      <c r="T16" s="79">
        <f t="shared" si="47"/>
        <v>266666.66666666663</v>
      </c>
      <c r="U16" s="79"/>
      <c r="V16" s="79"/>
      <c r="W16" s="79"/>
      <c r="X16" s="79"/>
      <c r="Y16" s="79">
        <f t="shared" si="48"/>
        <v>0</v>
      </c>
      <c r="Z16" s="79">
        <f t="shared" si="49"/>
        <v>0</v>
      </c>
      <c r="AA16" s="79">
        <f t="shared" si="50"/>
        <v>29950.666666666668</v>
      </c>
      <c r="AB16" s="79"/>
      <c r="AC16" s="79"/>
      <c r="AD16" s="79"/>
      <c r="AE16" s="79">
        <f t="shared" si="51"/>
        <v>9600</v>
      </c>
      <c r="AF16" s="70"/>
      <c r="AG16" s="79">
        <f t="shared" si="52"/>
        <v>39550.666666666672</v>
      </c>
      <c r="AH16" s="70"/>
      <c r="AI16" s="79">
        <f t="shared" si="53"/>
        <v>227115.99999999994</v>
      </c>
      <c r="AJ16" s="70"/>
      <c r="AM16" s="70"/>
      <c r="AN16" s="158"/>
      <c r="AO16" s="158"/>
      <c r="AP16" s="158"/>
      <c r="AQ16" s="158"/>
      <c r="AR16" s="159"/>
      <c r="AU16" s="160"/>
      <c r="AV16" s="160"/>
      <c r="AW16" s="161"/>
      <c r="AX16" s="70"/>
      <c r="AY16" s="70"/>
      <c r="AZ16" s="70"/>
      <c r="BA16" s="70"/>
      <c r="BB16" s="70"/>
      <c r="BC16" s="70"/>
      <c r="BD16" s="70"/>
      <c r="BE16" s="70"/>
      <c r="BF16" s="158"/>
      <c r="BG16" s="158"/>
      <c r="BH16" s="70"/>
      <c r="BI16" s="70"/>
      <c r="BJ16" s="158"/>
    </row>
    <row r="17" spans="1:62" s="157" customFormat="1" x14ac:dyDescent="0.35">
      <c r="A17" s="154"/>
      <c r="B17" s="155"/>
      <c r="C17" s="155"/>
      <c r="D17" s="155"/>
      <c r="E17" s="155"/>
      <c r="F17" s="156"/>
      <c r="G17" s="155"/>
      <c r="H17" s="155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0"/>
      <c r="AG17" s="79"/>
      <c r="AH17" s="70"/>
      <c r="AI17" s="79"/>
      <c r="AJ17" s="70"/>
      <c r="AM17" s="70"/>
      <c r="AN17" s="158"/>
      <c r="AO17" s="158"/>
      <c r="AP17" s="158"/>
      <c r="AQ17" s="158"/>
      <c r="AR17" s="159"/>
      <c r="AU17" s="160"/>
      <c r="AV17" s="160"/>
      <c r="AW17" s="161"/>
      <c r="AX17" s="70"/>
      <c r="AY17" s="70"/>
      <c r="AZ17" s="70"/>
      <c r="BA17" s="70"/>
      <c r="BB17" s="70"/>
      <c r="BC17" s="70"/>
      <c r="BD17" s="70"/>
      <c r="BE17" s="70"/>
      <c r="BF17" s="158"/>
      <c r="BG17" s="158"/>
      <c r="BH17" s="70"/>
      <c r="BI17" s="70"/>
      <c r="BJ17" s="158"/>
    </row>
    <row r="18" spans="1:62" s="157" customFormat="1" x14ac:dyDescent="0.35">
      <c r="A18" s="154"/>
      <c r="B18" s="155"/>
      <c r="C18" s="155"/>
      <c r="D18" s="155"/>
      <c r="E18" s="155"/>
      <c r="F18" s="156"/>
      <c r="G18" s="155"/>
      <c r="H18" s="155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0"/>
      <c r="AG18" s="79"/>
      <c r="AH18" s="70"/>
      <c r="AI18" s="79"/>
      <c r="AJ18" s="70"/>
      <c r="AM18" s="70"/>
      <c r="AN18" s="158"/>
      <c r="AO18" s="158"/>
      <c r="AP18" s="158"/>
      <c r="AQ18" s="158"/>
      <c r="AR18" s="159"/>
      <c r="AU18" s="160"/>
      <c r="AV18" s="160"/>
      <c r="AW18" s="161"/>
      <c r="AX18" s="70"/>
      <c r="AY18" s="70"/>
      <c r="AZ18" s="70"/>
      <c r="BA18" s="70"/>
      <c r="BB18" s="70"/>
      <c r="BC18" s="70"/>
      <c r="BD18" s="70"/>
      <c r="BE18" s="70"/>
      <c r="BF18" s="158"/>
      <c r="BG18" s="158"/>
      <c r="BH18" s="70"/>
      <c r="BI18" s="70"/>
      <c r="BJ18" s="158"/>
    </row>
    <row r="19" spans="1:62" s="157" customFormat="1" x14ac:dyDescent="0.35">
      <c r="A19" s="154"/>
      <c r="B19" s="155"/>
      <c r="C19" s="155"/>
      <c r="D19" s="155"/>
      <c r="E19" s="155"/>
      <c r="F19" s="156"/>
      <c r="G19" s="155"/>
      <c r="H19" s="155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0"/>
      <c r="AG19" s="79"/>
      <c r="AH19" s="70"/>
      <c r="AI19" s="79"/>
      <c r="AJ19" s="70"/>
      <c r="AM19" s="70"/>
      <c r="AN19" s="158"/>
      <c r="AO19" s="158"/>
      <c r="AP19" s="158"/>
      <c r="AQ19" s="158"/>
      <c r="AR19" s="159"/>
      <c r="AU19" s="160"/>
      <c r="AV19" s="160"/>
      <c r="AW19" s="161"/>
      <c r="AX19" s="70"/>
      <c r="AY19" s="70"/>
      <c r="AZ19" s="70"/>
      <c r="BA19" s="70"/>
      <c r="BB19" s="70"/>
      <c r="BC19" s="70"/>
      <c r="BD19" s="70"/>
      <c r="BE19" s="70"/>
      <c r="BF19" s="158"/>
      <c r="BG19" s="158"/>
      <c r="BH19" s="70"/>
      <c r="BI19" s="70"/>
      <c r="BJ19" s="158"/>
    </row>
    <row r="20" spans="1:62" s="157" customFormat="1" x14ac:dyDescent="0.35">
      <c r="A20" s="154"/>
      <c r="B20" s="155"/>
      <c r="C20" s="155"/>
      <c r="D20" s="155"/>
      <c r="E20" s="155"/>
      <c r="F20" s="156"/>
      <c r="G20" s="155"/>
      <c r="H20" s="155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0"/>
      <c r="AG20" s="79"/>
      <c r="AH20" s="70"/>
      <c r="AI20" s="79"/>
      <c r="AJ20" s="70"/>
      <c r="AM20" s="70"/>
      <c r="AN20" s="158"/>
      <c r="AO20" s="158"/>
      <c r="AP20" s="158"/>
      <c r="AQ20" s="158"/>
      <c r="AR20" s="159"/>
      <c r="AU20" s="160"/>
      <c r="AV20" s="160"/>
      <c r="AW20" s="161"/>
      <c r="AX20" s="70"/>
      <c r="AY20" s="70"/>
      <c r="AZ20" s="70"/>
      <c r="BA20" s="70"/>
      <c r="BB20" s="70"/>
      <c r="BC20" s="70"/>
      <c r="BD20" s="70"/>
      <c r="BE20" s="70"/>
      <c r="BF20" s="158"/>
      <c r="BG20" s="158"/>
      <c r="BH20" s="70"/>
      <c r="BI20" s="70"/>
      <c r="BJ20" s="158"/>
    </row>
    <row r="21" spans="1:62" s="157" customFormat="1" x14ac:dyDescent="0.35">
      <c r="A21" s="154"/>
      <c r="B21" s="155"/>
      <c r="C21" s="155"/>
      <c r="D21" s="155"/>
      <c r="E21" s="155"/>
      <c r="F21" s="156"/>
      <c r="G21" s="155"/>
      <c r="H21" s="155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0"/>
      <c r="AG21" s="79"/>
      <c r="AH21" s="70"/>
      <c r="AI21" s="79"/>
      <c r="AJ21" s="70"/>
      <c r="AM21" s="70"/>
      <c r="AN21" s="158"/>
      <c r="AO21" s="158"/>
      <c r="AP21" s="158"/>
      <c r="AQ21" s="158"/>
      <c r="AR21" s="159"/>
      <c r="AU21" s="160"/>
      <c r="AV21" s="160"/>
      <c r="AW21" s="161"/>
      <c r="AX21" s="70"/>
      <c r="AY21" s="70"/>
      <c r="AZ21" s="70"/>
      <c r="BA21" s="70"/>
      <c r="BB21" s="70"/>
      <c r="BC21" s="70"/>
      <c r="BD21" s="70"/>
      <c r="BE21" s="70"/>
      <c r="BF21" s="158"/>
      <c r="BG21" s="158"/>
      <c r="BH21" s="70"/>
      <c r="BI21" s="70"/>
      <c r="BJ21" s="158"/>
    </row>
    <row r="22" spans="1:62" s="157" customFormat="1" x14ac:dyDescent="0.35">
      <c r="A22" s="154"/>
      <c r="B22" s="155"/>
      <c r="C22" s="155"/>
      <c r="D22" s="155"/>
      <c r="E22" s="155"/>
      <c r="F22" s="156"/>
      <c r="G22" s="155"/>
      <c r="H22" s="155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0"/>
      <c r="AG22" s="79"/>
      <c r="AH22" s="70"/>
      <c r="AI22" s="79"/>
      <c r="AJ22" s="70"/>
      <c r="AM22" s="70"/>
      <c r="AN22" s="158"/>
      <c r="AO22" s="158"/>
      <c r="AP22" s="158"/>
      <c r="AQ22" s="158"/>
      <c r="AR22" s="159"/>
      <c r="AU22" s="160"/>
      <c r="AV22" s="160"/>
      <c r="AW22" s="161"/>
      <c r="AX22" s="70"/>
      <c r="AY22" s="70"/>
      <c r="AZ22" s="70"/>
      <c r="BA22" s="70"/>
      <c r="BB22" s="70"/>
      <c r="BC22" s="70"/>
      <c r="BD22" s="70"/>
      <c r="BE22" s="70"/>
      <c r="BF22" s="158"/>
      <c r="BG22" s="158"/>
      <c r="BH22" s="70"/>
      <c r="BI22" s="70"/>
      <c r="BJ22" s="158"/>
    </row>
    <row r="23" spans="1:62" s="157" customFormat="1" x14ac:dyDescent="0.35">
      <c r="A23" s="154"/>
      <c r="B23" s="155"/>
      <c r="C23" s="155"/>
      <c r="D23" s="155"/>
      <c r="E23" s="155"/>
      <c r="F23" s="156"/>
      <c r="G23" s="155"/>
      <c r="H23" s="155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0"/>
      <c r="AG23" s="79"/>
      <c r="AH23" s="70"/>
      <c r="AI23" s="79"/>
      <c r="AJ23" s="70"/>
      <c r="AM23" s="70"/>
      <c r="AN23" s="158"/>
      <c r="AO23" s="158"/>
      <c r="AP23" s="158"/>
      <c r="AQ23" s="158"/>
      <c r="AR23" s="159"/>
      <c r="AU23" s="160"/>
      <c r="AV23" s="160"/>
      <c r="AW23" s="161"/>
      <c r="AX23" s="70"/>
      <c r="AY23" s="70"/>
      <c r="AZ23" s="70"/>
      <c r="BA23" s="70"/>
      <c r="BB23" s="70"/>
      <c r="BC23" s="70"/>
      <c r="BD23" s="70"/>
      <c r="BE23" s="70"/>
      <c r="BF23" s="158"/>
      <c r="BG23" s="158"/>
      <c r="BH23" s="70"/>
      <c r="BI23" s="70"/>
      <c r="BJ23" s="158"/>
    </row>
    <row r="24" spans="1:62" s="157" customFormat="1" x14ac:dyDescent="0.35">
      <c r="A24" s="154"/>
      <c r="B24" s="155"/>
      <c r="C24" s="155"/>
      <c r="D24" s="155"/>
      <c r="E24" s="155"/>
      <c r="F24" s="156"/>
      <c r="G24" s="155"/>
      <c r="H24" s="155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0"/>
      <c r="AG24" s="79"/>
      <c r="AH24" s="70"/>
      <c r="AI24" s="79"/>
      <c r="AJ24" s="70"/>
      <c r="AM24" s="70"/>
      <c r="AN24" s="158"/>
      <c r="AO24" s="158"/>
      <c r="AP24" s="158"/>
      <c r="AQ24" s="158"/>
      <c r="AR24" s="159"/>
      <c r="AU24" s="160"/>
      <c r="AV24" s="160"/>
      <c r="AW24" s="161"/>
      <c r="AX24" s="70"/>
      <c r="AY24" s="70"/>
      <c r="AZ24" s="70"/>
      <c r="BA24" s="70"/>
      <c r="BB24" s="70"/>
      <c r="BC24" s="70"/>
      <c r="BD24" s="70"/>
      <c r="BE24" s="70"/>
      <c r="BF24" s="158"/>
      <c r="BG24" s="158"/>
      <c r="BH24" s="70"/>
      <c r="BI24" s="70"/>
      <c r="BJ24" s="158"/>
    </row>
    <row r="25" spans="1:62" s="157" customFormat="1" ht="24" thickBot="1" x14ac:dyDescent="0.4">
      <c r="A25" s="154"/>
      <c r="B25" s="155"/>
      <c r="C25" s="155"/>
      <c r="D25" s="155"/>
      <c r="E25" s="155"/>
      <c r="F25" s="156"/>
      <c r="G25" s="155"/>
      <c r="H25" s="155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0"/>
      <c r="AG25" s="79"/>
      <c r="AH25" s="70"/>
      <c r="AI25" s="79"/>
      <c r="AJ25" s="70"/>
      <c r="AM25" s="70"/>
      <c r="AN25" s="158"/>
      <c r="AO25" s="158"/>
      <c r="AP25" s="158"/>
      <c r="AQ25" s="158"/>
      <c r="AR25" s="159"/>
      <c r="AU25" s="160"/>
      <c r="AV25" s="160"/>
      <c r="AW25" s="161"/>
      <c r="AX25" s="70"/>
      <c r="AY25" s="70"/>
      <c r="AZ25" s="70"/>
      <c r="BA25" s="70"/>
      <c r="BB25" s="70"/>
      <c r="BC25" s="70"/>
      <c r="BD25" s="70"/>
      <c r="BE25" s="70"/>
      <c r="BF25" s="158"/>
      <c r="BG25" s="158"/>
      <c r="BH25" s="70"/>
      <c r="BI25" s="70"/>
      <c r="BJ25" s="158"/>
    </row>
    <row r="26" spans="1:62" ht="24" thickBot="1" x14ac:dyDescent="0.4">
      <c r="A26" s="80"/>
      <c r="B26" s="81"/>
      <c r="C26" s="81"/>
      <c r="D26" s="81"/>
      <c r="E26" s="81"/>
      <c r="F26" s="82"/>
      <c r="G26" s="81"/>
      <c r="H26" s="81"/>
      <c r="I26" s="83">
        <f t="shared" ref="I26:AE26" si="54">SUM(I5:I25)</f>
        <v>376509.66115375003</v>
      </c>
      <c r="J26" s="83">
        <f t="shared" si="54"/>
        <v>376509.66115375003</v>
      </c>
      <c r="K26" s="83">
        <f t="shared" si="54"/>
        <v>376509.66115375003</v>
      </c>
      <c r="L26" s="83">
        <f t="shared" si="54"/>
        <v>251006.44076916663</v>
      </c>
      <c r="M26" s="83">
        <f t="shared" si="54"/>
        <v>251006.44076916663</v>
      </c>
      <c r="N26" s="83">
        <f t="shared" si="54"/>
        <v>251006.44076916663</v>
      </c>
      <c r="O26" s="83">
        <f t="shared" si="54"/>
        <v>251006.44076916663</v>
      </c>
      <c r="P26" s="83">
        <f t="shared" si="54"/>
        <v>125503.22038458331</v>
      </c>
      <c r="Q26" s="83">
        <f t="shared" si="54"/>
        <v>125503.22038458331</v>
      </c>
      <c r="R26" s="83">
        <f t="shared" si="54"/>
        <v>125503.22038458331</v>
      </c>
      <c r="S26" s="83">
        <f t="shared" si="54"/>
        <v>0</v>
      </c>
      <c r="T26" s="83">
        <f t="shared" si="54"/>
        <v>2510064.4076916659</v>
      </c>
      <c r="U26" s="83">
        <f t="shared" si="54"/>
        <v>0</v>
      </c>
      <c r="V26" s="83">
        <f t="shared" si="54"/>
        <v>0</v>
      </c>
      <c r="W26" s="83">
        <f t="shared" si="54"/>
        <v>0</v>
      </c>
      <c r="X26" s="83">
        <f t="shared" si="54"/>
        <v>0</v>
      </c>
      <c r="Y26" s="83">
        <f t="shared" si="54"/>
        <v>0</v>
      </c>
      <c r="Z26" s="83">
        <f t="shared" si="54"/>
        <v>0</v>
      </c>
      <c r="AA26" s="83">
        <f t="shared" si="54"/>
        <v>261604.4318632076</v>
      </c>
      <c r="AB26" s="83">
        <f t="shared" si="54"/>
        <v>0</v>
      </c>
      <c r="AC26" s="83">
        <f t="shared" si="54"/>
        <v>0</v>
      </c>
      <c r="AD26" s="83">
        <f t="shared" si="54"/>
        <v>0</v>
      </c>
      <c r="AE26" s="83">
        <f t="shared" si="54"/>
        <v>90362.318676900002</v>
      </c>
      <c r="AG26" s="83">
        <f>SUM(AG5:AG25)</f>
        <v>351966.75054010766</v>
      </c>
      <c r="AI26" s="83">
        <f>SUM(AI5:AI25)</f>
        <v>2158097.6571515589</v>
      </c>
    </row>
    <row r="27" spans="1:62" s="101" customFormat="1" ht="24" thickTop="1" x14ac:dyDescent="0.35">
      <c r="A27" s="101">
        <v>1</v>
      </c>
      <c r="B27" s="101">
        <f>A27+1</f>
        <v>2</v>
      </c>
      <c r="C27" s="101">
        <f t="shared" ref="C27:AI27" si="55">B27+1</f>
        <v>3</v>
      </c>
      <c r="D27" s="101">
        <f t="shared" si="55"/>
        <v>4</v>
      </c>
      <c r="E27" s="101">
        <f t="shared" si="55"/>
        <v>5</v>
      </c>
      <c r="F27" s="101">
        <f t="shared" si="55"/>
        <v>6</v>
      </c>
      <c r="G27" s="101">
        <f t="shared" si="55"/>
        <v>7</v>
      </c>
      <c r="H27" s="101">
        <f t="shared" si="55"/>
        <v>8</v>
      </c>
      <c r="I27" s="101">
        <f t="shared" si="55"/>
        <v>9</v>
      </c>
      <c r="J27" s="101">
        <f t="shared" si="55"/>
        <v>10</v>
      </c>
      <c r="K27" s="101">
        <f t="shared" si="55"/>
        <v>11</v>
      </c>
      <c r="L27" s="101">
        <f t="shared" si="55"/>
        <v>12</v>
      </c>
      <c r="M27" s="101">
        <f t="shared" si="55"/>
        <v>13</v>
      </c>
      <c r="N27" s="101">
        <f t="shared" si="55"/>
        <v>14</v>
      </c>
      <c r="O27" s="101">
        <f t="shared" si="55"/>
        <v>15</v>
      </c>
      <c r="P27" s="101">
        <f t="shared" si="55"/>
        <v>16</v>
      </c>
      <c r="Q27" s="101">
        <f t="shared" si="55"/>
        <v>17</v>
      </c>
      <c r="R27" s="101">
        <f t="shared" si="55"/>
        <v>18</v>
      </c>
      <c r="S27" s="101">
        <f t="shared" si="55"/>
        <v>19</v>
      </c>
      <c r="T27" s="101">
        <f t="shared" si="55"/>
        <v>20</v>
      </c>
      <c r="U27" s="101">
        <f t="shared" si="55"/>
        <v>21</v>
      </c>
      <c r="V27" s="101">
        <f t="shared" si="55"/>
        <v>22</v>
      </c>
      <c r="W27" s="101">
        <f t="shared" si="55"/>
        <v>23</v>
      </c>
      <c r="X27" s="101">
        <f t="shared" si="55"/>
        <v>24</v>
      </c>
      <c r="Y27" s="101">
        <f t="shared" si="55"/>
        <v>25</v>
      </c>
      <c r="Z27" s="101">
        <f t="shared" si="55"/>
        <v>26</v>
      </c>
      <c r="AA27" s="101">
        <f t="shared" si="55"/>
        <v>27</v>
      </c>
      <c r="AB27" s="101">
        <f t="shared" si="55"/>
        <v>28</v>
      </c>
      <c r="AC27" s="101">
        <f t="shared" si="55"/>
        <v>29</v>
      </c>
      <c r="AD27" s="101">
        <f t="shared" si="55"/>
        <v>30</v>
      </c>
      <c r="AE27" s="101">
        <f t="shared" si="55"/>
        <v>31</v>
      </c>
      <c r="AF27" s="101">
        <f t="shared" si="55"/>
        <v>32</v>
      </c>
      <c r="AG27" s="101">
        <f t="shared" si="55"/>
        <v>33</v>
      </c>
      <c r="AH27" s="101">
        <f t="shared" si="55"/>
        <v>34</v>
      </c>
      <c r="AI27" s="101">
        <f t="shared" si="55"/>
        <v>35</v>
      </c>
      <c r="AJ27" s="100"/>
      <c r="AW27" s="102"/>
      <c r="BD27" s="100"/>
    </row>
    <row r="29" spans="1:62" s="84" customFormat="1" ht="28.5" customHeight="1" x14ac:dyDescent="0.35">
      <c r="B29" s="85" t="s">
        <v>112</v>
      </c>
      <c r="D29" s="86"/>
      <c r="E29" s="87"/>
      <c r="G29" s="88"/>
      <c r="I29" s="85" t="s">
        <v>113</v>
      </c>
      <c r="M29" s="89"/>
      <c r="N29" s="88"/>
      <c r="O29" s="85" t="s">
        <v>114</v>
      </c>
      <c r="P29" s="87"/>
      <c r="Y29" s="90"/>
      <c r="AA29" s="91"/>
      <c r="AC29" s="85" t="s">
        <v>115</v>
      </c>
    </row>
    <row r="32" spans="1:62" s="92" customFormat="1" ht="24" thickBot="1" x14ac:dyDescent="0.4">
      <c r="F32" s="93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5"/>
      <c r="T32" s="94"/>
      <c r="U32" s="95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W32" s="96"/>
      <c r="BD32" s="94"/>
    </row>
  </sheetData>
  <mergeCells count="1">
    <mergeCell ref="A2:C2"/>
  </mergeCells>
  <printOptions horizontalCentered="1"/>
  <pageMargins left="0.118110236220472" right="0.118110236220472" top="0.35433070866141703" bottom="0.35433070866141703" header="0.31496062992126" footer="0.31496062992126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J20"/>
  <sheetViews>
    <sheetView workbookViewId="0">
      <pane xSplit="4" ySplit="3" topLeftCell="AX4" activePane="bottomRight" state="frozen"/>
      <selection pane="topRight" activeCell="E1" sqref="E1"/>
      <selection pane="bottomLeft" activeCell="A4" sqref="A4"/>
      <selection pane="bottomRight" activeCell="BB4" sqref="BB4"/>
    </sheetView>
  </sheetViews>
  <sheetFormatPr defaultColWidth="8.85546875" defaultRowHeight="15.75" x14ac:dyDescent="0.25"/>
  <cols>
    <col min="1" max="1" width="12.28515625" style="47" customWidth="1"/>
    <col min="2" max="2" width="53" style="47" hidden="1" customWidth="1"/>
    <col min="3" max="3" width="22.42578125" style="47" hidden="1" customWidth="1"/>
    <col min="4" max="4" width="17.28515625" style="47" hidden="1" customWidth="1"/>
    <col min="5" max="5" width="9.28515625" style="47" customWidth="1"/>
    <col min="6" max="6" width="19.85546875" style="47" bestFit="1" customWidth="1"/>
    <col min="7" max="7" width="16.140625" style="47" bestFit="1" customWidth="1"/>
    <col min="8" max="8" width="17.7109375" style="47" customWidth="1"/>
    <col min="9" max="9" width="17.28515625" style="47" customWidth="1"/>
    <col min="10" max="10" width="24" style="47" customWidth="1"/>
    <col min="11" max="11" width="17.140625" style="47" customWidth="1"/>
    <col min="12" max="12" width="20.7109375" style="47" customWidth="1"/>
    <col min="13" max="14" width="18.42578125" style="48" customWidth="1"/>
    <col min="15" max="15" width="18.7109375" style="48" customWidth="1"/>
    <col min="16" max="19" width="18.85546875" style="48" customWidth="1"/>
    <col min="20" max="22" width="18.140625" style="48" customWidth="1"/>
    <col min="23" max="23" width="15.7109375" style="48" bestFit="1" customWidth="1"/>
    <col min="24" max="24" width="18.42578125" style="48" bestFit="1" customWidth="1"/>
    <col min="25" max="25" width="14.7109375" style="48" bestFit="1" customWidth="1"/>
    <col min="26" max="26" width="28.28515625" style="48" hidden="1" customWidth="1"/>
    <col min="27" max="27" width="18.5703125" style="48" bestFit="1" customWidth="1"/>
    <col min="28" max="28" width="14.42578125" style="48" customWidth="1"/>
    <col min="29" max="29" width="20.28515625" style="48" customWidth="1"/>
    <col min="30" max="30" width="16.85546875" style="48" customWidth="1"/>
    <col min="31" max="31" width="18.85546875" style="48" customWidth="1"/>
    <col min="32" max="32" width="25.28515625" style="48" customWidth="1"/>
    <col min="33" max="33" width="19.85546875" style="48" customWidth="1"/>
    <col min="34" max="34" width="11.42578125" style="47" customWidth="1"/>
    <col min="35" max="35" width="3" style="47" customWidth="1"/>
    <col min="36" max="36" width="25.28515625" style="47" bestFit="1" customWidth="1"/>
    <col min="37" max="37" width="20.7109375" style="47" customWidth="1"/>
    <col min="38" max="38" width="16.7109375" style="47" customWidth="1"/>
    <col min="39" max="40" width="12.42578125" style="47" customWidth="1"/>
    <col min="41" max="41" width="16.7109375" style="47" hidden="1" customWidth="1"/>
    <col min="42" max="42" width="14.7109375" style="47" customWidth="1"/>
    <col min="43" max="43" width="4.7109375" style="47" customWidth="1"/>
    <col min="44" max="45" width="18.85546875" style="47" customWidth="1"/>
    <col min="46" max="46" width="2.42578125" style="49" customWidth="1"/>
    <col min="47" max="47" width="16" style="47" customWidth="1"/>
    <col min="48" max="48" width="17.140625" style="47" customWidth="1"/>
    <col min="49" max="49" width="18.85546875" style="47" customWidth="1"/>
    <col min="50" max="50" width="19.28515625" style="47" customWidth="1"/>
    <col min="51" max="51" width="19.7109375" style="47" customWidth="1"/>
    <col min="52" max="52" width="16.7109375" style="47" customWidth="1"/>
    <col min="53" max="53" width="18.85546875" style="48" customWidth="1"/>
    <col min="54" max="55" width="16.7109375" style="47" customWidth="1"/>
    <col min="56" max="57" width="15" style="47" customWidth="1"/>
    <col min="58" max="58" width="20.28515625" style="47" customWidth="1"/>
    <col min="59" max="59" width="21" style="47" customWidth="1"/>
    <col min="60" max="60" width="12.42578125" style="47" customWidth="1"/>
    <col min="61" max="61" width="14.42578125" style="47" customWidth="1"/>
    <col min="62" max="62" width="14" style="47" bestFit="1" customWidth="1"/>
    <col min="63" max="16384" width="8.85546875" style="47"/>
  </cols>
  <sheetData>
    <row r="1" spans="1:62" x14ac:dyDescent="0.25">
      <c r="A1" s="47" t="str">
        <f>SUMMARY!A1</f>
        <v>Queen and Queen Ltd</v>
      </c>
      <c r="W1" s="48">
        <v>12</v>
      </c>
      <c r="AU1" s="48" t="s">
        <v>2</v>
      </c>
      <c r="AV1" s="48"/>
    </row>
    <row r="2" spans="1:62" s="54" customFormat="1" ht="30" customHeight="1" x14ac:dyDescent="0.25">
      <c r="A2" s="186" t="s">
        <v>53</v>
      </c>
      <c r="B2" s="186"/>
      <c r="C2" s="50"/>
      <c r="D2" s="50"/>
      <c r="E2" s="50"/>
      <c r="F2" s="50"/>
      <c r="G2" s="50"/>
      <c r="H2" s="50"/>
      <c r="I2" s="50"/>
      <c r="J2" s="50"/>
      <c r="K2" s="50"/>
      <c r="L2" s="50"/>
      <c r="M2" s="51">
        <v>0.15</v>
      </c>
      <c r="N2" s="51">
        <v>0.15</v>
      </c>
      <c r="O2" s="51">
        <v>0.15</v>
      </c>
      <c r="P2" s="51">
        <v>0.1</v>
      </c>
      <c r="Q2" s="51">
        <v>0.1</v>
      </c>
      <c r="R2" s="51">
        <v>0.1</v>
      </c>
      <c r="S2" s="51">
        <v>0.1</v>
      </c>
      <c r="T2" s="51">
        <v>0.05</v>
      </c>
      <c r="U2" s="51">
        <v>0.05</v>
      </c>
      <c r="V2" s="51">
        <v>0.05</v>
      </c>
      <c r="W2" s="52">
        <f>SUM(M2:V2)</f>
        <v>1</v>
      </c>
      <c r="X2" s="52"/>
      <c r="Y2" s="52"/>
      <c r="Z2" s="52"/>
      <c r="AA2" s="51"/>
      <c r="AB2" s="52"/>
      <c r="AC2" s="52"/>
      <c r="AD2" s="52"/>
      <c r="AE2" s="52"/>
      <c r="AF2" s="52" t="e">
        <f>#REF!/12</f>
        <v>#REF!</v>
      </c>
      <c r="AG2" s="52"/>
      <c r="AH2" s="53"/>
      <c r="AI2" s="50"/>
      <c r="AJ2" s="50" t="s">
        <v>3</v>
      </c>
      <c r="AK2" s="50"/>
      <c r="AL2" s="50" t="s">
        <v>4</v>
      </c>
      <c r="AM2" s="50" t="s">
        <v>5</v>
      </c>
      <c r="AN2" s="50" t="s">
        <v>6</v>
      </c>
      <c r="AO2" s="50" t="s">
        <v>7</v>
      </c>
      <c r="AP2" s="50" t="s">
        <v>8</v>
      </c>
      <c r="AQ2" s="50"/>
      <c r="AR2" s="50" t="s">
        <v>1</v>
      </c>
      <c r="AS2" s="50" t="s">
        <v>9</v>
      </c>
      <c r="AT2" s="50"/>
      <c r="AU2" s="52">
        <v>300000</v>
      </c>
      <c r="AV2" s="52">
        <v>300000</v>
      </c>
      <c r="AW2" s="52">
        <v>500000</v>
      </c>
      <c r="AX2" s="52">
        <v>500000</v>
      </c>
      <c r="AY2" s="52">
        <v>1600000</v>
      </c>
      <c r="AZ2" s="52">
        <v>3200000</v>
      </c>
      <c r="BA2" s="52" t="s">
        <v>1</v>
      </c>
      <c r="BB2" s="50" t="s">
        <v>10</v>
      </c>
      <c r="BC2" s="50" t="s">
        <v>11</v>
      </c>
      <c r="BD2" s="50" t="s">
        <v>12</v>
      </c>
      <c r="BE2" s="50" t="s">
        <v>13</v>
      </c>
      <c r="BF2" s="50" t="s">
        <v>34</v>
      </c>
      <c r="BG2" s="50" t="s">
        <v>35</v>
      </c>
    </row>
    <row r="3" spans="1:62" s="63" customFormat="1" x14ac:dyDescent="0.25">
      <c r="A3" s="55" t="s">
        <v>56</v>
      </c>
      <c r="B3" s="56" t="s">
        <v>92</v>
      </c>
      <c r="C3" s="56" t="s">
        <v>42</v>
      </c>
      <c r="D3" s="56" t="s">
        <v>43</v>
      </c>
      <c r="E3" s="56" t="s">
        <v>50</v>
      </c>
      <c r="F3" s="178" t="s">
        <v>51</v>
      </c>
      <c r="G3" s="56" t="s">
        <v>44</v>
      </c>
      <c r="H3" s="56" t="s">
        <v>45</v>
      </c>
      <c r="I3" s="56" t="s">
        <v>46</v>
      </c>
      <c r="J3" s="56" t="s">
        <v>47</v>
      </c>
      <c r="K3" s="56" t="s">
        <v>48</v>
      </c>
      <c r="L3" s="56" t="s">
        <v>49</v>
      </c>
      <c r="M3" s="57" t="s">
        <v>14</v>
      </c>
      <c r="N3" s="57" t="s">
        <v>15</v>
      </c>
      <c r="O3" s="57" t="s">
        <v>16</v>
      </c>
      <c r="P3" s="57" t="s">
        <v>17</v>
      </c>
      <c r="Q3" s="57" t="s">
        <v>18</v>
      </c>
      <c r="R3" s="57" t="s">
        <v>19</v>
      </c>
      <c r="S3" s="57" t="s">
        <v>20</v>
      </c>
      <c r="T3" s="57" t="s">
        <v>21</v>
      </c>
      <c r="U3" s="57" t="s">
        <v>22</v>
      </c>
      <c r="V3" s="57" t="s">
        <v>23</v>
      </c>
      <c r="W3" s="58" t="s">
        <v>24</v>
      </c>
      <c r="X3" s="58" t="s">
        <v>25</v>
      </c>
      <c r="Y3" s="58" t="s">
        <v>26</v>
      </c>
      <c r="Z3" s="58" t="s">
        <v>54</v>
      </c>
      <c r="AA3" s="57" t="s">
        <v>55</v>
      </c>
      <c r="AB3" s="58" t="s">
        <v>27</v>
      </c>
      <c r="AC3" s="58" t="s">
        <v>28</v>
      </c>
      <c r="AD3" s="58" t="s">
        <v>29</v>
      </c>
      <c r="AE3" s="58" t="s">
        <v>30</v>
      </c>
      <c r="AF3" s="58" t="s">
        <v>36</v>
      </c>
      <c r="AG3" s="58" t="s">
        <v>37</v>
      </c>
      <c r="AH3" s="55" t="s">
        <v>31</v>
      </c>
      <c r="AI3" s="55"/>
      <c r="AJ3" s="55" t="s">
        <v>32</v>
      </c>
      <c r="AK3" s="55" t="s">
        <v>33</v>
      </c>
      <c r="AL3" s="55"/>
      <c r="AM3" s="55"/>
      <c r="AN3" s="55"/>
      <c r="AO3" s="55"/>
      <c r="AP3" s="55"/>
      <c r="AQ3" s="55"/>
      <c r="AR3" s="55">
        <f>SUM(AI3:AQ3)</f>
        <v>0</v>
      </c>
      <c r="AS3" s="55"/>
      <c r="AT3" s="59"/>
      <c r="AU3" s="60">
        <v>7.0000000000000007E-2</v>
      </c>
      <c r="AV3" s="60">
        <v>0.11</v>
      </c>
      <c r="AW3" s="61">
        <v>0.15</v>
      </c>
      <c r="AX3" s="61">
        <v>0.19</v>
      </c>
      <c r="AY3" s="61">
        <v>0.21</v>
      </c>
      <c r="AZ3" s="61">
        <v>0.24</v>
      </c>
      <c r="BA3" s="58"/>
      <c r="BB3" s="61">
        <v>0.12</v>
      </c>
      <c r="BC3" s="60">
        <v>0.01</v>
      </c>
      <c r="BD3" s="60"/>
      <c r="BE3" s="61"/>
      <c r="BF3" s="62"/>
      <c r="BG3" s="55"/>
    </row>
    <row r="4" spans="1:62" s="173" customFormat="1" ht="18.75" x14ac:dyDescent="0.3">
      <c r="A4" s="162">
        <v>1</v>
      </c>
      <c r="B4" s="162"/>
      <c r="C4" s="162"/>
      <c r="D4" s="162"/>
      <c r="E4" s="162" t="s">
        <v>135</v>
      </c>
      <c r="F4" s="174" t="s">
        <v>137</v>
      </c>
      <c r="G4" s="164" t="s">
        <v>186</v>
      </c>
      <c r="H4" s="163" t="s">
        <v>175</v>
      </c>
      <c r="I4" s="165" t="s">
        <v>148</v>
      </c>
      <c r="J4" s="177" t="s">
        <v>149</v>
      </c>
      <c r="K4" s="163" t="s">
        <v>161</v>
      </c>
      <c r="L4" s="163" t="s">
        <v>162</v>
      </c>
      <c r="M4" s="166">
        <f t="shared" ref="M4:M7" si="0">$M$2*$W4</f>
        <v>200259.00149999995</v>
      </c>
      <c r="N4" s="166">
        <f t="shared" ref="N4:N7" si="1">$N$2*$W4</f>
        <v>200259.00149999995</v>
      </c>
      <c r="O4" s="166">
        <f t="shared" ref="O4:O7" si="2">$O$2*$W4</f>
        <v>200259.00149999995</v>
      </c>
      <c r="P4" s="166">
        <f t="shared" ref="P4:P7" si="3">$P$2*$W4</f>
        <v>133506.00099999999</v>
      </c>
      <c r="Q4" s="166">
        <f t="shared" ref="Q4:Q7" si="4">$Q$2*$W4</f>
        <v>133506.00099999999</v>
      </c>
      <c r="R4" s="166">
        <f t="shared" ref="R4:R7" si="5">$R$2*$W4</f>
        <v>133506.00099999999</v>
      </c>
      <c r="S4" s="166">
        <f t="shared" ref="S4:S7" si="6">$S$2*$W4</f>
        <v>133506.00099999999</v>
      </c>
      <c r="T4" s="166">
        <f t="shared" ref="T4:T7" si="7">$T$2*$W4</f>
        <v>66753.000499999995</v>
      </c>
      <c r="U4" s="166">
        <f t="shared" ref="U4:U7" si="8">$U$2*$W4</f>
        <v>66753.000499999995</v>
      </c>
      <c r="V4" s="166">
        <f t="shared" ref="V4:V7" si="9">$V$2*$W4</f>
        <v>66753.000499999995</v>
      </c>
      <c r="W4" s="166">
        <f>(80000*12)+81238.4+11269.25+(23546.03*12)</f>
        <v>1335060.0099999998</v>
      </c>
      <c r="X4" s="166"/>
      <c r="Y4" s="166"/>
      <c r="Z4" s="166"/>
      <c r="AA4" s="166">
        <f t="shared" ref="AA4" si="10">BF4</f>
        <v>86997.87714599997</v>
      </c>
      <c r="AB4" s="166"/>
      <c r="AC4" s="166"/>
      <c r="AD4" s="166"/>
      <c r="AE4" s="166">
        <f t="shared" ref="AE4:AE7" si="11">0.08*(M4+N4+O4)</f>
        <v>48062.160359999987</v>
      </c>
      <c r="AF4" s="166">
        <f t="shared" ref="AF4:AF5" si="12">W4-X4-Y4-Z4-AA4-AB4-AE4+AD4-AC4</f>
        <v>1199999.9724939996</v>
      </c>
      <c r="AG4" s="166">
        <f t="shared" ref="AG4:AG5" si="13">AF4/12</f>
        <v>99999.997707833303</v>
      </c>
      <c r="AH4" s="162">
        <v>12</v>
      </c>
      <c r="AI4" s="162"/>
      <c r="AJ4" s="166">
        <f t="shared" ref="AJ4:AJ5" si="14">IF((1%*W4)&gt;200000,1%*W4,200000)</f>
        <v>200000</v>
      </c>
      <c r="AK4" s="167">
        <f t="shared" ref="AK4:AK5" si="15">0.2*W4</f>
        <v>267012.00199999998</v>
      </c>
      <c r="AL4" s="167">
        <f t="shared" ref="AL4:AL5" si="16">AE4</f>
        <v>48062.160359999987</v>
      </c>
      <c r="AM4" s="167"/>
      <c r="AN4" s="167"/>
      <c r="AO4" s="168">
        <f t="shared" ref="AO4:AO5" si="17">Z4</f>
        <v>0</v>
      </c>
      <c r="AP4" s="162"/>
      <c r="AQ4" s="162"/>
      <c r="AR4" s="169">
        <f t="shared" ref="AR4:AR5" si="18">SUM(AI4:AQ4)</f>
        <v>515074.16235999996</v>
      </c>
      <c r="AS4" s="169">
        <f t="shared" ref="AS4:AS5" si="19">W4-AR4</f>
        <v>819985.84763999982</v>
      </c>
      <c r="AT4" s="170"/>
      <c r="AU4" s="166">
        <f>IF(AS4&gt;=300000,$AU$3*$AU$2,AS4*$AU$3)</f>
        <v>21000.000000000004</v>
      </c>
      <c r="AV4" s="166">
        <f>IF(AS4&gt;=($AU$2+$AV$2),$AV$3*$AV$2,(AS4-$AU$2)*$AV$3)</f>
        <v>33000</v>
      </c>
      <c r="AW4" s="166">
        <f>IF(AS4&gt;=($AU$2+$AV$2+$AW$2),$AW$3*$AW$2,(AS4-($AU$2+$AV$2))*$AW$3)</f>
        <v>32997.87714599997</v>
      </c>
      <c r="AX4" s="166">
        <f>IF(AS4&gt;=($AU$2+$AV$2+$AW$2+$AX$2),$AX$3*$AX$2,(AS4-($AU$2+$AV$2+$AW$2))*$AX$3)</f>
        <v>-53202.688948400035</v>
      </c>
      <c r="AY4" s="166">
        <f>IF(AS4&gt;=($AU$2+$AV$2+$AW$2+$AX$2+$AY$2),$AY$3*$AY$2,(AS4-($AU$2+$AV$2+$AW$2+$AX$2))*$AY$3)</f>
        <v>-163802.97199560003</v>
      </c>
      <c r="AZ4" s="166">
        <f>IF(AS4&gt;($AU$2+$AV$2+$AW$2+$AX$2+$AY$2),$AZ$3*(AS4-($AU$2+$AV$2+$AW$2+$AX$2+$AY$2)),0)</f>
        <v>0</v>
      </c>
      <c r="BA4" s="166">
        <f t="shared" ref="BA4:BA5" si="20">SUMIF(AU4:AZ4,"&gt;0",AU4:AZ4)</f>
        <v>86997.87714599997</v>
      </c>
      <c r="BB4" s="166">
        <f t="shared" ref="BB4:BB5" si="21">BA4/12</f>
        <v>7249.8230954999972</v>
      </c>
      <c r="BC4" s="167">
        <f>$BC$3*$W4</f>
        <v>13350.600099999998</v>
      </c>
      <c r="BD4" s="167">
        <f t="shared" ref="BD4:BD5" si="22">BC4/12</f>
        <v>1112.5500083333332</v>
      </c>
      <c r="BE4" s="166">
        <f t="shared" ref="BE4:BE5" si="23">AH4</f>
        <v>12</v>
      </c>
      <c r="BF4" s="166">
        <f t="shared" ref="BF4:BF5" si="24">IF(BA4&gt;BC4,BB4*BE4,BD4*BE4)</f>
        <v>86997.87714599997</v>
      </c>
      <c r="BG4" s="167">
        <f t="shared" ref="BG4:BG5" si="25">BF4/12</f>
        <v>7249.8230954999972</v>
      </c>
      <c r="BH4" s="147"/>
      <c r="BI4" s="171"/>
      <c r="BJ4" s="171"/>
    </row>
    <row r="5" spans="1:62" s="173" customFormat="1" ht="18.75" x14ac:dyDescent="0.3">
      <c r="A5" s="162">
        <f t="shared" ref="A5:A15" si="26">A4+1</f>
        <v>2</v>
      </c>
      <c r="B5" s="162"/>
      <c r="C5" s="162"/>
      <c r="D5" s="162"/>
      <c r="E5" s="162" t="s">
        <v>135</v>
      </c>
      <c r="F5" s="174" t="s">
        <v>138</v>
      </c>
      <c r="G5" s="164" t="s">
        <v>186</v>
      </c>
      <c r="H5" s="163" t="s">
        <v>175</v>
      </c>
      <c r="I5" s="165" t="s">
        <v>148</v>
      </c>
      <c r="J5" s="177" t="s">
        <v>150</v>
      </c>
      <c r="K5" s="163" t="s">
        <v>161</v>
      </c>
      <c r="L5" s="163" t="s">
        <v>163</v>
      </c>
      <c r="M5" s="166">
        <f t="shared" si="0"/>
        <v>200259.00149999995</v>
      </c>
      <c r="N5" s="166">
        <f t="shared" si="1"/>
        <v>200259.00149999995</v>
      </c>
      <c r="O5" s="166">
        <f t="shared" si="2"/>
        <v>200259.00149999995</v>
      </c>
      <c r="P5" s="166">
        <f t="shared" si="3"/>
        <v>133506.00099999999</v>
      </c>
      <c r="Q5" s="166">
        <f t="shared" si="4"/>
        <v>133506.00099999999</v>
      </c>
      <c r="R5" s="166">
        <f t="shared" si="5"/>
        <v>133506.00099999999</v>
      </c>
      <c r="S5" s="166">
        <f t="shared" si="6"/>
        <v>133506.00099999999</v>
      </c>
      <c r="T5" s="166">
        <f t="shared" si="7"/>
        <v>66753.000499999995</v>
      </c>
      <c r="U5" s="166">
        <f t="shared" si="8"/>
        <v>66753.000499999995</v>
      </c>
      <c r="V5" s="166">
        <f t="shared" si="9"/>
        <v>66753.000499999995</v>
      </c>
      <c r="W5" s="166">
        <f>(80000*12)+81238.4+11269.25+(23546.03*12)</f>
        <v>1335060.0099999998</v>
      </c>
      <c r="X5" s="166"/>
      <c r="Y5" s="166"/>
      <c r="Z5" s="166"/>
      <c r="AA5" s="166">
        <f t="shared" ref="AA5" si="27">BF5</f>
        <v>86997.87714599997</v>
      </c>
      <c r="AB5" s="166"/>
      <c r="AC5" s="166"/>
      <c r="AD5" s="166"/>
      <c r="AE5" s="166">
        <f t="shared" si="11"/>
        <v>48062.160359999987</v>
      </c>
      <c r="AF5" s="166">
        <f t="shared" si="12"/>
        <v>1199999.9724939996</v>
      </c>
      <c r="AG5" s="166">
        <f t="shared" si="13"/>
        <v>99999.997707833303</v>
      </c>
      <c r="AH5" s="162">
        <v>12</v>
      </c>
      <c r="AI5" s="162"/>
      <c r="AJ5" s="166">
        <f t="shared" si="14"/>
        <v>200000</v>
      </c>
      <c r="AK5" s="167">
        <f t="shared" si="15"/>
        <v>267012.00199999998</v>
      </c>
      <c r="AL5" s="167">
        <f t="shared" si="16"/>
        <v>48062.160359999987</v>
      </c>
      <c r="AM5" s="167"/>
      <c r="AN5" s="167"/>
      <c r="AO5" s="168">
        <f t="shared" si="17"/>
        <v>0</v>
      </c>
      <c r="AP5" s="162"/>
      <c r="AQ5" s="162"/>
      <c r="AR5" s="169">
        <f t="shared" si="18"/>
        <v>515074.16235999996</v>
      </c>
      <c r="AS5" s="169">
        <f t="shared" si="19"/>
        <v>819985.84763999982</v>
      </c>
      <c r="AT5" s="170"/>
      <c r="AU5" s="166">
        <f>IF(AS5&gt;=300000,$AU$3*$AU$2,AS5*$AU$3)</f>
        <v>21000.000000000004</v>
      </c>
      <c r="AV5" s="166">
        <f>IF(AS5&gt;=($AU$2+$AV$2),$AV$3*$AV$2,(AS5-$AU$2)*$AV$3)</f>
        <v>33000</v>
      </c>
      <c r="AW5" s="166">
        <f>IF(AS5&gt;=($AU$2+$AV$2+$AW$2),$AW$3*$AW$2,(AS5-($AU$2+$AV$2))*$AW$3)</f>
        <v>32997.87714599997</v>
      </c>
      <c r="AX5" s="166">
        <f>IF(AS5&gt;=($AU$2+$AV$2+$AW$2+$AX$2),$AX$3*$AX$2,(AS5-($AU$2+$AV$2+$AW$2))*$AX$3)</f>
        <v>-53202.688948400035</v>
      </c>
      <c r="AY5" s="166">
        <f>IF(AS5&gt;=($AU$2+$AV$2+$AW$2+$AX$2+$AY$2),$AY$3*$AY$2,(AS5-($AU$2+$AV$2+$AW$2+$AX$2))*$AY$3)</f>
        <v>-163802.97199560003</v>
      </c>
      <c r="AZ5" s="166">
        <f>IF(AS5&gt;($AU$2+$AV$2+$AW$2+$AX$2+$AY$2),$AZ$3*(AS5-($AU$2+$AV$2+$AW$2+$AX$2+$AY$2)),0)</f>
        <v>0</v>
      </c>
      <c r="BA5" s="166">
        <f t="shared" si="20"/>
        <v>86997.87714599997</v>
      </c>
      <c r="BB5" s="166">
        <f t="shared" si="21"/>
        <v>7249.8230954999972</v>
      </c>
      <c r="BC5" s="167">
        <f>$BC$3*$W5</f>
        <v>13350.600099999998</v>
      </c>
      <c r="BD5" s="167">
        <f t="shared" si="22"/>
        <v>1112.5500083333332</v>
      </c>
      <c r="BE5" s="166">
        <f t="shared" si="23"/>
        <v>12</v>
      </c>
      <c r="BF5" s="166">
        <f t="shared" si="24"/>
        <v>86997.87714599997</v>
      </c>
      <c r="BG5" s="167">
        <f t="shared" si="25"/>
        <v>7249.8230954999972</v>
      </c>
      <c r="BH5" s="148"/>
      <c r="BI5" s="171"/>
    </row>
    <row r="6" spans="1:62" s="173" customFormat="1" ht="18.75" x14ac:dyDescent="0.3">
      <c r="A6" s="162">
        <f t="shared" si="26"/>
        <v>3</v>
      </c>
      <c r="B6" s="162"/>
      <c r="C6" s="162"/>
      <c r="D6" s="162"/>
      <c r="E6" s="162" t="s">
        <v>187</v>
      </c>
      <c r="F6" s="174" t="s">
        <v>139</v>
      </c>
      <c r="G6" s="164" t="s">
        <v>189</v>
      </c>
      <c r="H6" s="163" t="s">
        <v>175</v>
      </c>
      <c r="I6" s="165" t="s">
        <v>148</v>
      </c>
      <c r="J6" s="177" t="s">
        <v>151</v>
      </c>
      <c r="K6" s="163" t="s">
        <v>161</v>
      </c>
      <c r="L6" s="163" t="s">
        <v>164</v>
      </c>
      <c r="M6" s="166">
        <f t="shared" si="0"/>
        <v>840000</v>
      </c>
      <c r="N6" s="166">
        <f t="shared" si="1"/>
        <v>840000</v>
      </c>
      <c r="O6" s="166">
        <f t="shared" si="2"/>
        <v>840000</v>
      </c>
      <c r="P6" s="166">
        <f t="shared" si="3"/>
        <v>560000</v>
      </c>
      <c r="Q6" s="166">
        <f t="shared" si="4"/>
        <v>560000</v>
      </c>
      <c r="R6" s="166">
        <f t="shared" si="5"/>
        <v>560000</v>
      </c>
      <c r="S6" s="166">
        <f t="shared" si="6"/>
        <v>560000</v>
      </c>
      <c r="T6" s="166">
        <f t="shared" si="7"/>
        <v>280000</v>
      </c>
      <c r="U6" s="166">
        <f t="shared" si="8"/>
        <v>280000</v>
      </c>
      <c r="V6" s="166">
        <f t="shared" si="9"/>
        <v>280000</v>
      </c>
      <c r="W6" s="166">
        <v>5600000</v>
      </c>
      <c r="X6" s="166"/>
      <c r="Y6" s="166"/>
      <c r="Z6" s="166"/>
      <c r="AA6" s="166">
        <f t="shared" ref="AA6" si="28">BF6</f>
        <v>770816</v>
      </c>
      <c r="AB6" s="166"/>
      <c r="AC6" s="166"/>
      <c r="AD6" s="166"/>
      <c r="AE6" s="166">
        <f t="shared" ref="AE6" si="29">0.08*(M6+N6+O6)</f>
        <v>201600</v>
      </c>
      <c r="AF6" s="166">
        <f t="shared" ref="AF6" si="30">W6-X6-Y6-Z6-AA6-AB6-AE6+AD6-AC6</f>
        <v>4627584</v>
      </c>
      <c r="AG6" s="166">
        <f t="shared" ref="AG6" si="31">AF6/12</f>
        <v>385632</v>
      </c>
      <c r="AH6" s="162">
        <v>12</v>
      </c>
      <c r="AI6" s="162"/>
      <c r="AJ6" s="166">
        <f t="shared" ref="AJ6" si="32">IF((1%*W6)&gt;200000,1%*W6,200000)</f>
        <v>200000</v>
      </c>
      <c r="AK6" s="167">
        <f t="shared" ref="AK6" si="33">0.2*W6</f>
        <v>1120000</v>
      </c>
      <c r="AL6" s="167">
        <f t="shared" ref="AL6" si="34">AE6</f>
        <v>201600</v>
      </c>
      <c r="AM6" s="167"/>
      <c r="AN6" s="167"/>
      <c r="AO6" s="168">
        <f t="shared" ref="AO6" si="35">Z6</f>
        <v>0</v>
      </c>
      <c r="AP6" s="162"/>
      <c r="AQ6" s="162"/>
      <c r="AR6" s="169">
        <f t="shared" ref="AR6" si="36">SUM(AI6:AQ6)</f>
        <v>1521600</v>
      </c>
      <c r="AS6" s="169">
        <f t="shared" ref="AS6" si="37">W6-AR6</f>
        <v>4078400</v>
      </c>
      <c r="AT6" s="170"/>
      <c r="AU6" s="166">
        <f>IF(AS6&gt;=300000,$AU$3*$AU$2,AS6*$AU$3)</f>
        <v>21000.000000000004</v>
      </c>
      <c r="AV6" s="166">
        <f>IF(AS6&gt;=($AU$2+$AV$2),$AV$3*$AV$2,(AS6-$AU$2)*$AV$3)</f>
        <v>33000</v>
      </c>
      <c r="AW6" s="166">
        <f>IF(AS6&gt;=($AU$2+$AV$2+$AW$2),$AW$3*$AW$2,(AS6-($AU$2+$AV$2))*$AW$3)</f>
        <v>75000</v>
      </c>
      <c r="AX6" s="166">
        <f>IF(AS6&gt;=($AU$2+$AV$2+$AW$2+$AX$2),$AX$3*$AX$2,(AS6-($AU$2+$AV$2+$AW$2))*$AX$3)</f>
        <v>95000</v>
      </c>
      <c r="AY6" s="166">
        <f>IF(AS6&gt;=($AU$2+$AV$2+$AW$2+$AX$2+$AY$2),$AY$3*$AY$2,(AS6-($AU$2+$AV$2+$AW$2+$AX$2))*$AY$3)</f>
        <v>336000</v>
      </c>
      <c r="AZ6" s="166">
        <f>IF(AS6&gt;($AU$2+$AV$2+$AW$2+$AX$2+$AY$2),$AZ$3*(AS6-($AU$2+$AV$2+$AW$2+$AX$2+$AY$2)),0)</f>
        <v>210816</v>
      </c>
      <c r="BA6" s="166">
        <f t="shared" ref="BA6" si="38">SUMIF(AU6:AZ6,"&gt;0",AU6:AZ6)</f>
        <v>770816</v>
      </c>
      <c r="BB6" s="166">
        <f t="shared" ref="BB6" si="39">BA6/12</f>
        <v>64234.666666666664</v>
      </c>
      <c r="BC6" s="167">
        <f>$BC$3*$W6</f>
        <v>56000</v>
      </c>
      <c r="BD6" s="167">
        <f t="shared" ref="BD6" si="40">BC6/12</f>
        <v>4666.666666666667</v>
      </c>
      <c r="BE6" s="166">
        <f t="shared" ref="BE6" si="41">AH6</f>
        <v>12</v>
      </c>
      <c r="BF6" s="166">
        <f t="shared" ref="BF6" si="42">IF(BA6&gt;BC6,BB6*BE6,BD6*BE6)</f>
        <v>770816</v>
      </c>
      <c r="BG6" s="167">
        <f t="shared" ref="BG6" si="43">BF6/12</f>
        <v>64234.666666666664</v>
      </c>
      <c r="BH6" s="148"/>
      <c r="BI6" s="171"/>
    </row>
    <row r="7" spans="1:62" s="173" customFormat="1" ht="18.75" x14ac:dyDescent="0.3">
      <c r="A7" s="162">
        <f t="shared" si="26"/>
        <v>4</v>
      </c>
      <c r="B7" s="162"/>
      <c r="C7" s="162"/>
      <c r="D7" s="162"/>
      <c r="E7" s="162" t="s">
        <v>188</v>
      </c>
      <c r="F7" s="174" t="s">
        <v>140</v>
      </c>
      <c r="G7" s="164" t="s">
        <v>190</v>
      </c>
      <c r="H7" s="163" t="s">
        <v>176</v>
      </c>
      <c r="I7" s="165" t="s">
        <v>148</v>
      </c>
      <c r="J7" s="177" t="s">
        <v>152</v>
      </c>
      <c r="K7" s="163" t="s">
        <v>161</v>
      </c>
      <c r="L7" s="163" t="s">
        <v>165</v>
      </c>
      <c r="M7" s="166">
        <f t="shared" si="0"/>
        <v>125122.73284500001</v>
      </c>
      <c r="N7" s="166">
        <f t="shared" si="1"/>
        <v>125122.73284500001</v>
      </c>
      <c r="O7" s="166">
        <f t="shared" si="2"/>
        <v>125122.73284500001</v>
      </c>
      <c r="P7" s="166">
        <f t="shared" si="3"/>
        <v>83415.155230000018</v>
      </c>
      <c r="Q7" s="166">
        <f t="shared" si="4"/>
        <v>83415.155230000018</v>
      </c>
      <c r="R7" s="166">
        <f t="shared" si="5"/>
        <v>83415.155230000018</v>
      </c>
      <c r="S7" s="166">
        <f t="shared" si="6"/>
        <v>83415.155230000018</v>
      </c>
      <c r="T7" s="166">
        <f t="shared" si="7"/>
        <v>41707.577615000009</v>
      </c>
      <c r="U7" s="166">
        <f t="shared" si="8"/>
        <v>41707.577615000009</v>
      </c>
      <c r="V7" s="166">
        <f t="shared" si="9"/>
        <v>41707.577615000009</v>
      </c>
      <c r="W7" s="166">
        <f>((60000*12)+52428.8+7152.09)*1.07</f>
        <v>834151.5523000001</v>
      </c>
      <c r="X7" s="166"/>
      <c r="Y7" s="166"/>
      <c r="Z7" s="166"/>
      <c r="AA7" s="166">
        <f t="shared" ref="AA7" si="44">BF7</f>
        <v>36102.096455292005</v>
      </c>
      <c r="AB7" s="166"/>
      <c r="AC7" s="166"/>
      <c r="AD7" s="166"/>
      <c r="AE7" s="166">
        <f t="shared" si="11"/>
        <v>30029.455882800004</v>
      </c>
      <c r="AF7" s="166">
        <f t="shared" ref="AF7" si="45">W7-X7-Y7-Z7-AA7-AB7-AE7+AD7-AC7</f>
        <v>768019.99996190809</v>
      </c>
      <c r="AG7" s="166">
        <f t="shared" ref="AG7" si="46">AF7/12</f>
        <v>64001.666663492339</v>
      </c>
      <c r="AH7" s="162">
        <v>12</v>
      </c>
      <c r="AI7" s="162"/>
      <c r="AJ7" s="166">
        <f t="shared" ref="AJ7" si="47">IF((1%*W7)&gt;200000,1%*W7,200000)</f>
        <v>200000</v>
      </c>
      <c r="AK7" s="167">
        <f t="shared" ref="AK7" si="48">0.2*W7</f>
        <v>166830.31046000004</v>
      </c>
      <c r="AL7" s="167">
        <f t="shared" ref="AL7" si="49">AE7</f>
        <v>30029.455882800004</v>
      </c>
      <c r="AM7" s="167"/>
      <c r="AN7" s="167"/>
      <c r="AO7" s="168">
        <f t="shared" ref="AO7" si="50">Z7</f>
        <v>0</v>
      </c>
      <c r="AP7" s="162"/>
      <c r="AQ7" s="162"/>
      <c r="AR7" s="169">
        <f t="shared" ref="AR7:AR8" si="51">SUM(AI7:AQ7)</f>
        <v>396859.76634280005</v>
      </c>
      <c r="AS7" s="169">
        <f t="shared" ref="AS7" si="52">W7-AR7</f>
        <v>437291.78595720005</v>
      </c>
      <c r="AT7" s="170"/>
      <c r="AU7" s="166">
        <f t="shared" ref="AU7" si="53">IF(AS7&gt;=300000,$AU$3*$AU$2,AS7*$AU$3)</f>
        <v>21000.000000000004</v>
      </c>
      <c r="AV7" s="166">
        <f t="shared" ref="AV7" si="54">IF(AS7&gt;=($AU$2+$AV$2),$AV$3*$AV$2,(AS7-$AU$2)*$AV$3)</f>
        <v>15102.096455292005</v>
      </c>
      <c r="AW7" s="166">
        <f t="shared" ref="AW7" si="55">IF(AS7&gt;=($AU$2+$AV$2+$AW$2),$AW$3*$AW$2,(AS7-($AU$2+$AV$2))*$AW$3)</f>
        <v>-24406.232106419993</v>
      </c>
      <c r="AX7" s="166">
        <f t="shared" ref="AX7" si="56">IF(AS7&gt;=($AU$2+$AV$2+$AW$2+$AX$2),$AX$3*$AX$2,(AS7-($AU$2+$AV$2+$AW$2))*$AX$3)</f>
        <v>-125914.56066813201</v>
      </c>
      <c r="AY7" s="166">
        <f t="shared" ref="AY7" si="57">IF(AS7&gt;=($AU$2+$AV$2+$AW$2+$AX$2+$AY$2),$AY$3*$AY$2,(AS7-($AU$2+$AV$2+$AW$2+$AX$2))*$AY$3)</f>
        <v>-244168.72494898801</v>
      </c>
      <c r="AZ7" s="166">
        <f t="shared" ref="AZ7" si="58">IF(AS7&gt;($AU$2+$AV$2+$AW$2+$AX$2+$AY$2),$AZ$3*(AS7-($AU$2+$AV$2+$AW$2+$AX$2+$AY$2)),0)</f>
        <v>0</v>
      </c>
      <c r="BA7" s="166">
        <f t="shared" ref="BA7" si="59">SUMIF(AU7:AZ7,"&gt;0",AU7:AZ7)</f>
        <v>36102.096455292005</v>
      </c>
      <c r="BB7" s="166">
        <f t="shared" ref="BB7" si="60">BA7/12</f>
        <v>3008.5080379410006</v>
      </c>
      <c r="BC7" s="167">
        <f t="shared" ref="BC7" si="61">$BC$3*$W7</f>
        <v>8341.5155230000018</v>
      </c>
      <c r="BD7" s="167">
        <f t="shared" ref="BD7" si="62">BC7/12</f>
        <v>695.12629358333345</v>
      </c>
      <c r="BE7" s="166">
        <f t="shared" ref="BE7" si="63">AH7</f>
        <v>12</v>
      </c>
      <c r="BF7" s="166">
        <f t="shared" ref="BF7" si="64">IF(BA7&gt;BC7,BB7*BE7,BD7*BE7)</f>
        <v>36102.096455292005</v>
      </c>
      <c r="BG7" s="167">
        <f t="shared" ref="BG7" si="65">BF7/12</f>
        <v>3008.5080379410006</v>
      </c>
      <c r="BH7" s="148"/>
      <c r="BI7" s="171"/>
    </row>
    <row r="8" spans="1:62" s="173" customFormat="1" ht="18.75" x14ac:dyDescent="0.3">
      <c r="A8" s="162">
        <f t="shared" si="26"/>
        <v>5</v>
      </c>
      <c r="B8" s="162"/>
      <c r="C8" s="162"/>
      <c r="D8" s="162"/>
      <c r="E8" s="162" t="s">
        <v>187</v>
      </c>
      <c r="F8" s="174" t="s">
        <v>141</v>
      </c>
      <c r="G8" s="164" t="s">
        <v>191</v>
      </c>
      <c r="H8" s="163" t="s">
        <v>176</v>
      </c>
      <c r="I8" s="165" t="s">
        <v>148</v>
      </c>
      <c r="J8" s="177" t="s">
        <v>153</v>
      </c>
      <c r="K8" s="163" t="s">
        <v>161</v>
      </c>
      <c r="L8" s="163" t="s">
        <v>166</v>
      </c>
      <c r="M8" s="166">
        <f>$M$2*$W8</f>
        <v>308118.79949999996</v>
      </c>
      <c r="N8" s="166">
        <f>$N$2*$W8</f>
        <v>308118.79949999996</v>
      </c>
      <c r="O8" s="166">
        <f>$O$2*$W8</f>
        <v>308118.79949999996</v>
      </c>
      <c r="P8" s="166">
        <f>$P$2*$W8</f>
        <v>205412.533</v>
      </c>
      <c r="Q8" s="166">
        <f>$Q$2*$W8</f>
        <v>205412.533</v>
      </c>
      <c r="R8" s="166">
        <f>$R$2*$W8</f>
        <v>205412.533</v>
      </c>
      <c r="S8" s="166">
        <f>$S$2*$W8</f>
        <v>205412.533</v>
      </c>
      <c r="T8" s="166">
        <f>$T$2*$W8</f>
        <v>102706.2665</v>
      </c>
      <c r="U8" s="166">
        <f>$U$2*$W8</f>
        <v>102706.2665</v>
      </c>
      <c r="V8" s="166">
        <f>$V$2*$W8</f>
        <v>102706.2665</v>
      </c>
      <c r="W8" s="166">
        <f>2000000+60000-4900+10-900-84.98+0.91-0.6</f>
        <v>2054125.3299999998</v>
      </c>
      <c r="X8" s="166"/>
      <c r="Y8" s="166"/>
      <c r="Z8" s="166"/>
      <c r="AA8" s="166">
        <f>BF8</f>
        <v>180176.83290279997</v>
      </c>
      <c r="AB8" s="166"/>
      <c r="AC8" s="166"/>
      <c r="AD8" s="166"/>
      <c r="AE8" s="166">
        <f t="shared" ref="AE8" si="66">0.08*(M8+N8+O8)</f>
        <v>73948.511879999991</v>
      </c>
      <c r="AF8" s="166">
        <f>W8-X8-Y8-Z8-AA8-AB8-AE8+AD8-AC8</f>
        <v>1799999.9852171999</v>
      </c>
      <c r="AG8" s="166">
        <f>AF8/12</f>
        <v>149999.99876809999</v>
      </c>
      <c r="AH8" s="162">
        <v>12</v>
      </c>
      <c r="AI8" s="162"/>
      <c r="AJ8" s="166">
        <f>IF((1%*W8)&gt;200000,1%*W8,200000)</f>
        <v>200000</v>
      </c>
      <c r="AK8" s="167">
        <f>0.2*W8</f>
        <v>410825.06599999999</v>
      </c>
      <c r="AL8" s="167">
        <f>AE8</f>
        <v>73948.511879999991</v>
      </c>
      <c r="AM8" s="167"/>
      <c r="AN8" s="167"/>
      <c r="AO8" s="168">
        <f>Z8</f>
        <v>0</v>
      </c>
      <c r="AP8" s="162"/>
      <c r="AQ8" s="162"/>
      <c r="AR8" s="169">
        <f t="shared" si="51"/>
        <v>684773.57788</v>
      </c>
      <c r="AS8" s="169">
        <f>W8-AR8</f>
        <v>1369351.7521199998</v>
      </c>
      <c r="AT8" s="170"/>
      <c r="AU8" s="166">
        <f>IF(AS8&gt;=300000,$AU$3*$AU$2,AS8*$AU$3)</f>
        <v>21000.000000000004</v>
      </c>
      <c r="AV8" s="166">
        <f>IF(AS8&gt;=($AU$2+$AV$2),$AV$3*$AV$2,(AS8-$AU$2)*$AV$3)</f>
        <v>33000</v>
      </c>
      <c r="AW8" s="166">
        <f>IF(AS8&gt;=($AU$2+$AV$2+$AW$2),$AW$3*$AW$2,(AS8-($AU$2+$AV$2))*$AW$3)</f>
        <v>75000</v>
      </c>
      <c r="AX8" s="166">
        <f>IF(AS8&gt;=($AU$2+$AV$2+$AW$2+$AX$2),$AX$3*$AX$2,(AS8-($AU$2+$AV$2+$AW$2))*$AX$3)</f>
        <v>51176.832902799972</v>
      </c>
      <c r="AY8" s="166">
        <f>IF(AS8&gt;=($AU$2+$AV$2+$AW$2+$AX$2+$AY$2),$AY$3*$AY$2,(AS8-($AU$2+$AV$2+$AW$2+$AX$2))*$AY$3)</f>
        <v>-48436.132054800029</v>
      </c>
      <c r="AZ8" s="166">
        <f>IF(AS8&gt;($AU$2+$AV$2+$AW$2+$AX$2+$AY$2),$AZ$3*(AS8-($AU$2+$AV$2+$AW$2+$AX$2+$AY$2)),0)</f>
        <v>0</v>
      </c>
      <c r="BA8" s="166">
        <f>SUMIF(AU8:AZ8,"&gt;0",AU8:AZ8)</f>
        <v>180176.83290279997</v>
      </c>
      <c r="BB8" s="166">
        <f>BA8/12</f>
        <v>15014.736075233332</v>
      </c>
      <c r="BC8" s="167">
        <f>$BC$3*$W8</f>
        <v>20541.2533</v>
      </c>
      <c r="BD8" s="167">
        <f>BC8/12</f>
        <v>1711.7711083333334</v>
      </c>
      <c r="BE8" s="166">
        <f>AH8</f>
        <v>12</v>
      </c>
      <c r="BF8" s="166">
        <f>IF(BA8&gt;BC8,BB8*BE8,BD8*BE8)</f>
        <v>180176.83290279997</v>
      </c>
      <c r="BG8" s="167">
        <f>BF8/12</f>
        <v>15014.736075233332</v>
      </c>
      <c r="BH8" s="147"/>
      <c r="BI8" s="171"/>
      <c r="BJ8" s="172"/>
    </row>
    <row r="9" spans="1:62" s="173" customFormat="1" ht="18.75" x14ac:dyDescent="0.3">
      <c r="A9" s="162">
        <f t="shared" si="26"/>
        <v>6</v>
      </c>
      <c r="B9" s="162"/>
      <c r="C9" s="162"/>
      <c r="D9" s="162"/>
      <c r="E9" s="162" t="s">
        <v>188</v>
      </c>
      <c r="F9" s="174" t="s">
        <v>142</v>
      </c>
      <c r="G9" s="164" t="s">
        <v>192</v>
      </c>
      <c r="H9" s="163" t="s">
        <v>176</v>
      </c>
      <c r="I9" s="165" t="s">
        <v>148</v>
      </c>
      <c r="J9" s="177" t="s">
        <v>154</v>
      </c>
      <c r="K9" s="163" t="s">
        <v>161</v>
      </c>
      <c r="L9" s="163" t="s">
        <v>167</v>
      </c>
      <c r="M9" s="166">
        <f t="shared" ref="M9:M15" si="67">$M$2*$W9</f>
        <v>480000</v>
      </c>
      <c r="N9" s="166">
        <f t="shared" ref="N9:N15" si="68">$N$2*$W9</f>
        <v>480000</v>
      </c>
      <c r="O9" s="166">
        <f t="shared" ref="O9:O15" si="69">$O$2*$W9</f>
        <v>480000</v>
      </c>
      <c r="P9" s="166">
        <f t="shared" ref="P9:P15" si="70">$P$2*$W9</f>
        <v>320000</v>
      </c>
      <c r="Q9" s="166">
        <f t="shared" ref="Q9:Q15" si="71">$Q$2*$W9</f>
        <v>320000</v>
      </c>
      <c r="R9" s="166">
        <f t="shared" ref="R9:R15" si="72">$R$2*$W9</f>
        <v>320000</v>
      </c>
      <c r="S9" s="166">
        <f t="shared" ref="S9:S15" si="73">$S$2*$W9</f>
        <v>320000</v>
      </c>
      <c r="T9" s="166">
        <f t="shared" ref="T9:T15" si="74">$T$2*$W9</f>
        <v>160000</v>
      </c>
      <c r="U9" s="166">
        <f t="shared" ref="U9:U15" si="75">$U$2*$W9</f>
        <v>160000</v>
      </c>
      <c r="V9" s="166">
        <f t="shared" ref="V9:V15" si="76">$V$2*$W9</f>
        <v>160000</v>
      </c>
      <c r="W9" s="166">
        <v>3200000</v>
      </c>
      <c r="X9" s="166"/>
      <c r="Y9" s="166"/>
      <c r="Z9" s="166"/>
      <c r="AA9" s="166">
        <f t="shared" ref="AA9:AA14" si="77">BF9</f>
        <v>359408</v>
      </c>
      <c r="AB9" s="166"/>
      <c r="AC9" s="166"/>
      <c r="AD9" s="166"/>
      <c r="AE9" s="166">
        <f t="shared" ref="AE9:AE14" si="78">0.08*(M9+N9+O9)</f>
        <v>115200</v>
      </c>
      <c r="AF9" s="166">
        <f t="shared" ref="AF9:AF14" si="79">W9-X9-Y9-Z9-AA9-AB9-AE9+AD9-AC9</f>
        <v>2725392</v>
      </c>
      <c r="AG9" s="166">
        <f t="shared" ref="AG9:AG15" si="80">AF9/12</f>
        <v>227116</v>
      </c>
      <c r="AH9" s="162">
        <v>12</v>
      </c>
      <c r="AI9" s="162"/>
      <c r="AJ9" s="166">
        <f t="shared" ref="AJ9:AJ14" si="81">IF((1%*W9)&gt;200000,1%*W9,200000)</f>
        <v>200000</v>
      </c>
      <c r="AK9" s="167">
        <f t="shared" ref="AK9:AK14" si="82">0.2*W9</f>
        <v>640000</v>
      </c>
      <c r="AL9" s="167">
        <f t="shared" ref="AL9:AL14" si="83">AE9</f>
        <v>115200</v>
      </c>
      <c r="AM9" s="167"/>
      <c r="AN9" s="167"/>
      <c r="AO9" s="168">
        <f t="shared" ref="AO9:AO14" si="84">Z9</f>
        <v>0</v>
      </c>
      <c r="AP9" s="162"/>
      <c r="AQ9" s="162"/>
      <c r="AR9" s="169">
        <f t="shared" ref="AR9:AR14" si="85">SUM(AI9:AQ9)</f>
        <v>955200</v>
      </c>
      <c r="AS9" s="169">
        <f t="shared" ref="AS9:AS14" si="86">W9-AR9</f>
        <v>2244800</v>
      </c>
      <c r="AT9" s="170"/>
      <c r="AU9" s="166">
        <f t="shared" ref="AU9:AU14" si="87">IF(AS9&gt;=300000,$AU$3*$AU$2,AS9*$AU$3)</f>
        <v>21000.000000000004</v>
      </c>
      <c r="AV9" s="166">
        <f t="shared" ref="AV9:AV14" si="88">IF(AS9&gt;=($AU$2+$AV$2),$AV$3*$AV$2,(AS9-$AU$2)*$AV$3)</f>
        <v>33000</v>
      </c>
      <c r="AW9" s="166">
        <f t="shared" ref="AW9:AW14" si="89">IF(AS9&gt;=($AU$2+$AV$2+$AW$2),$AW$3*$AW$2,(AS9-($AU$2+$AV$2))*$AW$3)</f>
        <v>75000</v>
      </c>
      <c r="AX9" s="166">
        <f t="shared" ref="AX9:AX14" si="90">IF(AS9&gt;=($AU$2+$AV$2+$AW$2+$AX$2),$AX$3*$AX$2,(AS9-($AU$2+$AV$2+$AW$2))*$AX$3)</f>
        <v>95000</v>
      </c>
      <c r="AY9" s="166">
        <f t="shared" ref="AY9:AY14" si="91">IF(AS9&gt;=($AU$2+$AV$2+$AW$2+$AX$2+$AY$2),$AY$3*$AY$2,(AS9-($AU$2+$AV$2+$AW$2+$AX$2))*$AY$3)</f>
        <v>135408</v>
      </c>
      <c r="AZ9" s="166">
        <f t="shared" ref="AZ9:AZ14" si="92">IF(AS9&gt;($AU$2+$AV$2+$AW$2+$AX$2+$AY$2),$AZ$3*(AS9-($AU$2+$AV$2+$AW$2+$AX$2+$AY$2)),0)</f>
        <v>0</v>
      </c>
      <c r="BA9" s="166">
        <f t="shared" ref="BA9:BA14" si="93">SUMIF(AU9:AZ9,"&gt;0",AU9:AZ9)</f>
        <v>359408</v>
      </c>
      <c r="BB9" s="166">
        <f t="shared" ref="BB9:BB15" si="94">BA9/12</f>
        <v>29950.666666666668</v>
      </c>
      <c r="BC9" s="167">
        <f t="shared" ref="BC9:BC15" si="95">$BC$3*$W9</f>
        <v>32000</v>
      </c>
      <c r="BD9" s="167">
        <f t="shared" ref="BD9:BD15" si="96">BC9/12</f>
        <v>2666.6666666666665</v>
      </c>
      <c r="BE9" s="166">
        <f t="shared" ref="BE9:BE14" si="97">AH9</f>
        <v>12</v>
      </c>
      <c r="BF9" s="166">
        <f t="shared" ref="BF9:BF14" si="98">IF(BA9&gt;BC9,BB9*BE9,BD9*BE9)</f>
        <v>359408</v>
      </c>
      <c r="BG9" s="167">
        <f t="shared" ref="BG9:BG15" si="99">BF9/12</f>
        <v>29950.666666666668</v>
      </c>
      <c r="BH9" s="147"/>
      <c r="BI9" s="171"/>
      <c r="BJ9" s="172"/>
    </row>
    <row r="10" spans="1:62" s="173" customFormat="1" ht="18.75" x14ac:dyDescent="0.3">
      <c r="A10" s="162">
        <f t="shared" si="26"/>
        <v>7</v>
      </c>
      <c r="B10" s="162"/>
      <c r="C10" s="162"/>
      <c r="D10" s="162"/>
      <c r="E10" s="162" t="s">
        <v>52</v>
      </c>
      <c r="F10" s="174" t="s">
        <v>143</v>
      </c>
      <c r="G10" s="164" t="s">
        <v>191</v>
      </c>
      <c r="H10" s="163" t="s">
        <v>174</v>
      </c>
      <c r="I10" s="165" t="s">
        <v>148</v>
      </c>
      <c r="J10" s="177" t="s">
        <v>155</v>
      </c>
      <c r="K10" s="163" t="s">
        <v>161</v>
      </c>
      <c r="L10" s="163" t="s">
        <v>168</v>
      </c>
      <c r="M10" s="166">
        <f t="shared" si="67"/>
        <v>308118.79949999996</v>
      </c>
      <c r="N10" s="166">
        <f t="shared" si="68"/>
        <v>308118.79949999996</v>
      </c>
      <c r="O10" s="166">
        <f t="shared" si="69"/>
        <v>308118.79949999996</v>
      </c>
      <c r="P10" s="166">
        <f t="shared" si="70"/>
        <v>205412.533</v>
      </c>
      <c r="Q10" s="166">
        <f t="shared" si="71"/>
        <v>205412.533</v>
      </c>
      <c r="R10" s="166">
        <f t="shared" si="72"/>
        <v>205412.533</v>
      </c>
      <c r="S10" s="166">
        <f t="shared" si="73"/>
        <v>205412.533</v>
      </c>
      <c r="T10" s="166">
        <f t="shared" si="74"/>
        <v>102706.2665</v>
      </c>
      <c r="U10" s="166">
        <f t="shared" si="75"/>
        <v>102706.2665</v>
      </c>
      <c r="V10" s="166">
        <f t="shared" si="76"/>
        <v>102706.2665</v>
      </c>
      <c r="W10" s="166">
        <f t="shared" ref="W10:W12" si="100">2000000+60000-4900+10-900-84.98+0.91-0.6</f>
        <v>2054125.3299999998</v>
      </c>
      <c r="X10" s="166"/>
      <c r="Y10" s="166"/>
      <c r="Z10" s="166"/>
      <c r="AA10" s="166">
        <f t="shared" si="77"/>
        <v>180176.83290279997</v>
      </c>
      <c r="AB10" s="166"/>
      <c r="AC10" s="166"/>
      <c r="AD10" s="166"/>
      <c r="AE10" s="166">
        <f t="shared" si="78"/>
        <v>73948.511879999991</v>
      </c>
      <c r="AF10" s="166">
        <f t="shared" si="79"/>
        <v>1799999.9852171999</v>
      </c>
      <c r="AG10" s="166">
        <f t="shared" si="80"/>
        <v>149999.99876809999</v>
      </c>
      <c r="AH10" s="162">
        <v>12</v>
      </c>
      <c r="AI10" s="162"/>
      <c r="AJ10" s="166">
        <f t="shared" si="81"/>
        <v>200000</v>
      </c>
      <c r="AK10" s="167">
        <f t="shared" si="82"/>
        <v>410825.06599999999</v>
      </c>
      <c r="AL10" s="167">
        <f t="shared" si="83"/>
        <v>73948.511879999991</v>
      </c>
      <c r="AM10" s="167"/>
      <c r="AN10" s="167"/>
      <c r="AO10" s="168">
        <f t="shared" si="84"/>
        <v>0</v>
      </c>
      <c r="AP10" s="162"/>
      <c r="AQ10" s="162"/>
      <c r="AR10" s="169">
        <f t="shared" si="85"/>
        <v>684773.57788</v>
      </c>
      <c r="AS10" s="169">
        <f t="shared" si="86"/>
        <v>1369351.7521199998</v>
      </c>
      <c r="AT10" s="170"/>
      <c r="AU10" s="166">
        <f t="shared" si="87"/>
        <v>21000.000000000004</v>
      </c>
      <c r="AV10" s="166">
        <f t="shared" si="88"/>
        <v>33000</v>
      </c>
      <c r="AW10" s="166">
        <f t="shared" si="89"/>
        <v>75000</v>
      </c>
      <c r="AX10" s="166">
        <f t="shared" si="90"/>
        <v>51176.832902799972</v>
      </c>
      <c r="AY10" s="166">
        <f t="shared" si="91"/>
        <v>-48436.132054800029</v>
      </c>
      <c r="AZ10" s="166">
        <f t="shared" si="92"/>
        <v>0</v>
      </c>
      <c r="BA10" s="166">
        <f t="shared" si="93"/>
        <v>180176.83290279997</v>
      </c>
      <c r="BB10" s="166">
        <f t="shared" si="94"/>
        <v>15014.736075233332</v>
      </c>
      <c r="BC10" s="167">
        <f t="shared" si="95"/>
        <v>20541.2533</v>
      </c>
      <c r="BD10" s="167">
        <f t="shared" si="96"/>
        <v>1711.7711083333334</v>
      </c>
      <c r="BE10" s="166">
        <f t="shared" si="97"/>
        <v>12</v>
      </c>
      <c r="BF10" s="166">
        <f t="shared" si="98"/>
        <v>180176.83290279997</v>
      </c>
      <c r="BG10" s="167">
        <f t="shared" si="99"/>
        <v>15014.736075233332</v>
      </c>
      <c r="BH10" s="147"/>
      <c r="BI10" s="171"/>
      <c r="BJ10" s="172"/>
    </row>
    <row r="11" spans="1:62" s="173" customFormat="1" ht="18.75" x14ac:dyDescent="0.3">
      <c r="A11" s="162">
        <f t="shared" si="26"/>
        <v>8</v>
      </c>
      <c r="B11" s="162"/>
      <c r="C11" s="162"/>
      <c r="D11" s="162"/>
      <c r="E11" s="162" t="s">
        <v>52</v>
      </c>
      <c r="F11" s="174" t="s">
        <v>144</v>
      </c>
      <c r="G11" s="164" t="s">
        <v>191</v>
      </c>
      <c r="H11" s="163" t="s">
        <v>174</v>
      </c>
      <c r="I11" s="165" t="s">
        <v>148</v>
      </c>
      <c r="J11" s="177" t="s">
        <v>156</v>
      </c>
      <c r="K11" s="163" t="s">
        <v>161</v>
      </c>
      <c r="L11" s="163" t="s">
        <v>169</v>
      </c>
      <c r="M11" s="166">
        <f t="shared" si="67"/>
        <v>308118.79949999996</v>
      </c>
      <c r="N11" s="166">
        <f t="shared" si="68"/>
        <v>308118.79949999996</v>
      </c>
      <c r="O11" s="166">
        <f t="shared" si="69"/>
        <v>308118.79949999996</v>
      </c>
      <c r="P11" s="166">
        <f t="shared" si="70"/>
        <v>205412.533</v>
      </c>
      <c r="Q11" s="166">
        <f t="shared" si="71"/>
        <v>205412.533</v>
      </c>
      <c r="R11" s="166">
        <f t="shared" si="72"/>
        <v>205412.533</v>
      </c>
      <c r="S11" s="166">
        <f t="shared" si="73"/>
        <v>205412.533</v>
      </c>
      <c r="T11" s="166">
        <f t="shared" si="74"/>
        <v>102706.2665</v>
      </c>
      <c r="U11" s="166">
        <f t="shared" si="75"/>
        <v>102706.2665</v>
      </c>
      <c r="V11" s="166">
        <f t="shared" si="76"/>
        <v>102706.2665</v>
      </c>
      <c r="W11" s="166">
        <f t="shared" si="100"/>
        <v>2054125.3299999998</v>
      </c>
      <c r="X11" s="166"/>
      <c r="Y11" s="166"/>
      <c r="Z11" s="166"/>
      <c r="AA11" s="166">
        <f t="shared" si="77"/>
        <v>180176.83290279997</v>
      </c>
      <c r="AB11" s="166"/>
      <c r="AC11" s="166"/>
      <c r="AD11" s="166"/>
      <c r="AE11" s="166">
        <f t="shared" si="78"/>
        <v>73948.511879999991</v>
      </c>
      <c r="AF11" s="166">
        <f t="shared" si="79"/>
        <v>1799999.9852171999</v>
      </c>
      <c r="AG11" s="166">
        <f t="shared" si="80"/>
        <v>149999.99876809999</v>
      </c>
      <c r="AH11" s="162">
        <v>12</v>
      </c>
      <c r="AI11" s="162"/>
      <c r="AJ11" s="166">
        <f t="shared" si="81"/>
        <v>200000</v>
      </c>
      <c r="AK11" s="167">
        <f t="shared" si="82"/>
        <v>410825.06599999999</v>
      </c>
      <c r="AL11" s="167">
        <f t="shared" si="83"/>
        <v>73948.511879999991</v>
      </c>
      <c r="AM11" s="167"/>
      <c r="AN11" s="167"/>
      <c r="AO11" s="168">
        <f t="shared" si="84"/>
        <v>0</v>
      </c>
      <c r="AP11" s="162"/>
      <c r="AQ11" s="162"/>
      <c r="AR11" s="169">
        <f t="shared" si="85"/>
        <v>684773.57788</v>
      </c>
      <c r="AS11" s="169">
        <f t="shared" si="86"/>
        <v>1369351.7521199998</v>
      </c>
      <c r="AT11" s="170"/>
      <c r="AU11" s="166">
        <f t="shared" si="87"/>
        <v>21000.000000000004</v>
      </c>
      <c r="AV11" s="166">
        <f t="shared" si="88"/>
        <v>33000</v>
      </c>
      <c r="AW11" s="166">
        <f t="shared" si="89"/>
        <v>75000</v>
      </c>
      <c r="AX11" s="166">
        <f t="shared" si="90"/>
        <v>51176.832902799972</v>
      </c>
      <c r="AY11" s="166">
        <f t="shared" si="91"/>
        <v>-48436.132054800029</v>
      </c>
      <c r="AZ11" s="166">
        <f t="shared" si="92"/>
        <v>0</v>
      </c>
      <c r="BA11" s="166">
        <f t="shared" si="93"/>
        <v>180176.83290279997</v>
      </c>
      <c r="BB11" s="166">
        <f t="shared" si="94"/>
        <v>15014.736075233332</v>
      </c>
      <c r="BC11" s="167">
        <f t="shared" si="95"/>
        <v>20541.2533</v>
      </c>
      <c r="BD11" s="167">
        <f t="shared" si="96"/>
        <v>1711.7711083333334</v>
      </c>
      <c r="BE11" s="166">
        <f t="shared" si="97"/>
        <v>12</v>
      </c>
      <c r="BF11" s="166">
        <f t="shared" si="98"/>
        <v>180176.83290279997</v>
      </c>
      <c r="BG11" s="167">
        <f t="shared" si="99"/>
        <v>15014.736075233332</v>
      </c>
      <c r="BH11" s="147"/>
      <c r="BI11" s="171"/>
      <c r="BJ11" s="172"/>
    </row>
    <row r="12" spans="1:62" s="173" customFormat="1" ht="18.75" x14ac:dyDescent="0.3">
      <c r="A12" s="162">
        <f t="shared" si="26"/>
        <v>9</v>
      </c>
      <c r="B12" s="162"/>
      <c r="C12" s="162"/>
      <c r="D12" s="162"/>
      <c r="E12" s="162" t="s">
        <v>52</v>
      </c>
      <c r="F12" s="174" t="s">
        <v>178</v>
      </c>
      <c r="G12" s="164" t="s">
        <v>191</v>
      </c>
      <c r="H12" s="163" t="s">
        <v>174</v>
      </c>
      <c r="I12" s="165" t="s">
        <v>148</v>
      </c>
      <c r="J12" s="177" t="s">
        <v>157</v>
      </c>
      <c r="K12" s="163" t="s">
        <v>161</v>
      </c>
      <c r="L12" s="163" t="s">
        <v>170</v>
      </c>
      <c r="M12" s="166">
        <f t="shared" si="67"/>
        <v>308118.79949999996</v>
      </c>
      <c r="N12" s="166">
        <f t="shared" si="68"/>
        <v>308118.79949999996</v>
      </c>
      <c r="O12" s="166">
        <f t="shared" si="69"/>
        <v>308118.79949999996</v>
      </c>
      <c r="P12" s="166">
        <f t="shared" si="70"/>
        <v>205412.533</v>
      </c>
      <c r="Q12" s="166">
        <f t="shared" si="71"/>
        <v>205412.533</v>
      </c>
      <c r="R12" s="166">
        <f t="shared" si="72"/>
        <v>205412.533</v>
      </c>
      <c r="S12" s="166">
        <f t="shared" si="73"/>
        <v>205412.533</v>
      </c>
      <c r="T12" s="166">
        <f t="shared" si="74"/>
        <v>102706.2665</v>
      </c>
      <c r="U12" s="166">
        <f t="shared" si="75"/>
        <v>102706.2665</v>
      </c>
      <c r="V12" s="166">
        <f t="shared" si="76"/>
        <v>102706.2665</v>
      </c>
      <c r="W12" s="166">
        <f t="shared" si="100"/>
        <v>2054125.3299999998</v>
      </c>
      <c r="X12" s="166"/>
      <c r="Y12" s="166"/>
      <c r="Z12" s="166"/>
      <c r="AA12" s="166">
        <f t="shared" si="77"/>
        <v>180176.83290279997</v>
      </c>
      <c r="AB12" s="166"/>
      <c r="AC12" s="166"/>
      <c r="AD12" s="166"/>
      <c r="AE12" s="166">
        <f t="shared" si="78"/>
        <v>73948.511879999991</v>
      </c>
      <c r="AF12" s="166">
        <f t="shared" si="79"/>
        <v>1799999.9852171999</v>
      </c>
      <c r="AG12" s="166">
        <f t="shared" si="80"/>
        <v>149999.99876809999</v>
      </c>
      <c r="AH12" s="162">
        <v>12</v>
      </c>
      <c r="AI12" s="162"/>
      <c r="AJ12" s="166">
        <f t="shared" si="81"/>
        <v>200000</v>
      </c>
      <c r="AK12" s="167">
        <f t="shared" si="82"/>
        <v>410825.06599999999</v>
      </c>
      <c r="AL12" s="167">
        <f t="shared" si="83"/>
        <v>73948.511879999991</v>
      </c>
      <c r="AM12" s="167"/>
      <c r="AN12" s="167"/>
      <c r="AO12" s="168">
        <f t="shared" si="84"/>
        <v>0</v>
      </c>
      <c r="AP12" s="162"/>
      <c r="AQ12" s="162"/>
      <c r="AR12" s="169">
        <f t="shared" si="85"/>
        <v>684773.57788</v>
      </c>
      <c r="AS12" s="169">
        <f t="shared" si="86"/>
        <v>1369351.7521199998</v>
      </c>
      <c r="AT12" s="170"/>
      <c r="AU12" s="166">
        <f t="shared" si="87"/>
        <v>21000.000000000004</v>
      </c>
      <c r="AV12" s="166">
        <f t="shared" si="88"/>
        <v>33000</v>
      </c>
      <c r="AW12" s="166">
        <f t="shared" si="89"/>
        <v>75000</v>
      </c>
      <c r="AX12" s="166">
        <f t="shared" si="90"/>
        <v>51176.832902799972</v>
      </c>
      <c r="AY12" s="166">
        <f t="shared" si="91"/>
        <v>-48436.132054800029</v>
      </c>
      <c r="AZ12" s="166">
        <f t="shared" si="92"/>
        <v>0</v>
      </c>
      <c r="BA12" s="166">
        <f t="shared" si="93"/>
        <v>180176.83290279997</v>
      </c>
      <c r="BB12" s="166">
        <f t="shared" si="94"/>
        <v>15014.736075233332</v>
      </c>
      <c r="BC12" s="167">
        <f t="shared" si="95"/>
        <v>20541.2533</v>
      </c>
      <c r="BD12" s="167">
        <f t="shared" si="96"/>
        <v>1711.7711083333334</v>
      </c>
      <c r="BE12" s="166">
        <f t="shared" si="97"/>
        <v>12</v>
      </c>
      <c r="BF12" s="166">
        <f t="shared" si="98"/>
        <v>180176.83290279997</v>
      </c>
      <c r="BG12" s="167">
        <f t="shared" si="99"/>
        <v>15014.736075233332</v>
      </c>
      <c r="BH12" s="147"/>
      <c r="BI12" s="171"/>
      <c r="BJ12" s="172"/>
    </row>
    <row r="13" spans="1:62" s="173" customFormat="1" ht="18.75" x14ac:dyDescent="0.3">
      <c r="A13" s="162">
        <f t="shared" si="26"/>
        <v>10</v>
      </c>
      <c r="B13" s="162"/>
      <c r="C13" s="162"/>
      <c r="D13" s="162"/>
      <c r="E13" s="162" t="s">
        <v>188</v>
      </c>
      <c r="F13" s="174" t="s">
        <v>145</v>
      </c>
      <c r="G13" s="164" t="s">
        <v>192</v>
      </c>
      <c r="H13" s="163" t="s">
        <v>177</v>
      </c>
      <c r="I13" s="165" t="s">
        <v>148</v>
      </c>
      <c r="J13" s="177" t="s">
        <v>158</v>
      </c>
      <c r="K13" s="163" t="s">
        <v>161</v>
      </c>
      <c r="L13" s="163" t="s">
        <v>171</v>
      </c>
      <c r="M13" s="166">
        <f t="shared" si="67"/>
        <v>480000</v>
      </c>
      <c r="N13" s="166">
        <f t="shared" si="68"/>
        <v>480000</v>
      </c>
      <c r="O13" s="166">
        <f t="shared" si="69"/>
        <v>480000</v>
      </c>
      <c r="P13" s="166">
        <f t="shared" si="70"/>
        <v>320000</v>
      </c>
      <c r="Q13" s="166">
        <f t="shared" si="71"/>
        <v>320000</v>
      </c>
      <c r="R13" s="166">
        <f t="shared" si="72"/>
        <v>320000</v>
      </c>
      <c r="S13" s="166">
        <f t="shared" si="73"/>
        <v>320000</v>
      </c>
      <c r="T13" s="166">
        <f t="shared" si="74"/>
        <v>160000</v>
      </c>
      <c r="U13" s="166">
        <f t="shared" si="75"/>
        <v>160000</v>
      </c>
      <c r="V13" s="166">
        <f t="shared" si="76"/>
        <v>160000</v>
      </c>
      <c r="W13" s="166">
        <v>3200000</v>
      </c>
      <c r="X13" s="166"/>
      <c r="Y13" s="166"/>
      <c r="Z13" s="166"/>
      <c r="AA13" s="166">
        <f t="shared" si="77"/>
        <v>359408</v>
      </c>
      <c r="AB13" s="166"/>
      <c r="AC13" s="166"/>
      <c r="AD13" s="166"/>
      <c r="AE13" s="166">
        <f t="shared" si="78"/>
        <v>115200</v>
      </c>
      <c r="AF13" s="166">
        <f t="shared" si="79"/>
        <v>2725392</v>
      </c>
      <c r="AG13" s="166">
        <f t="shared" si="80"/>
        <v>227116</v>
      </c>
      <c r="AH13" s="162">
        <v>12</v>
      </c>
      <c r="AI13" s="162"/>
      <c r="AJ13" s="166">
        <f t="shared" si="81"/>
        <v>200000</v>
      </c>
      <c r="AK13" s="167">
        <f t="shared" si="82"/>
        <v>640000</v>
      </c>
      <c r="AL13" s="167">
        <f t="shared" si="83"/>
        <v>115200</v>
      </c>
      <c r="AM13" s="167"/>
      <c r="AN13" s="167"/>
      <c r="AO13" s="168">
        <f t="shared" si="84"/>
        <v>0</v>
      </c>
      <c r="AP13" s="162"/>
      <c r="AQ13" s="162"/>
      <c r="AR13" s="169">
        <f t="shared" si="85"/>
        <v>955200</v>
      </c>
      <c r="AS13" s="169">
        <f t="shared" si="86"/>
        <v>2244800</v>
      </c>
      <c r="AT13" s="170"/>
      <c r="AU13" s="166">
        <f t="shared" si="87"/>
        <v>21000.000000000004</v>
      </c>
      <c r="AV13" s="166">
        <f t="shared" si="88"/>
        <v>33000</v>
      </c>
      <c r="AW13" s="166">
        <f t="shared" si="89"/>
        <v>75000</v>
      </c>
      <c r="AX13" s="166">
        <f t="shared" si="90"/>
        <v>95000</v>
      </c>
      <c r="AY13" s="166">
        <f t="shared" si="91"/>
        <v>135408</v>
      </c>
      <c r="AZ13" s="166">
        <f t="shared" si="92"/>
        <v>0</v>
      </c>
      <c r="BA13" s="166">
        <f t="shared" si="93"/>
        <v>359408</v>
      </c>
      <c r="BB13" s="166">
        <f t="shared" si="94"/>
        <v>29950.666666666668</v>
      </c>
      <c r="BC13" s="167">
        <f t="shared" si="95"/>
        <v>32000</v>
      </c>
      <c r="BD13" s="167">
        <f t="shared" si="96"/>
        <v>2666.6666666666665</v>
      </c>
      <c r="BE13" s="166">
        <f t="shared" si="97"/>
        <v>12</v>
      </c>
      <c r="BF13" s="166">
        <f t="shared" si="98"/>
        <v>359408</v>
      </c>
      <c r="BG13" s="167">
        <f t="shared" si="99"/>
        <v>29950.666666666668</v>
      </c>
      <c r="BH13" s="147"/>
      <c r="BI13" s="171"/>
      <c r="BJ13" s="172"/>
    </row>
    <row r="14" spans="1:62" s="173" customFormat="1" ht="18.75" x14ac:dyDescent="0.3">
      <c r="A14" s="162">
        <f t="shared" si="26"/>
        <v>11</v>
      </c>
      <c r="B14" s="162"/>
      <c r="C14" s="162"/>
      <c r="D14" s="162"/>
      <c r="E14" s="162" t="s">
        <v>52</v>
      </c>
      <c r="F14" s="174" t="s">
        <v>146</v>
      </c>
      <c r="G14" s="164" t="s">
        <v>192</v>
      </c>
      <c r="H14" s="163" t="s">
        <v>177</v>
      </c>
      <c r="I14" s="165" t="s">
        <v>148</v>
      </c>
      <c r="J14" s="177" t="s">
        <v>159</v>
      </c>
      <c r="K14" s="163" t="s">
        <v>161</v>
      </c>
      <c r="L14" s="163" t="s">
        <v>172</v>
      </c>
      <c r="M14" s="166">
        <f t="shared" si="67"/>
        <v>480000</v>
      </c>
      <c r="N14" s="166">
        <f t="shared" si="68"/>
        <v>480000</v>
      </c>
      <c r="O14" s="166">
        <f t="shared" si="69"/>
        <v>480000</v>
      </c>
      <c r="P14" s="166">
        <f t="shared" si="70"/>
        <v>320000</v>
      </c>
      <c r="Q14" s="166">
        <f t="shared" si="71"/>
        <v>320000</v>
      </c>
      <c r="R14" s="166">
        <f t="shared" si="72"/>
        <v>320000</v>
      </c>
      <c r="S14" s="166">
        <f t="shared" si="73"/>
        <v>320000</v>
      </c>
      <c r="T14" s="166">
        <f t="shared" si="74"/>
        <v>160000</v>
      </c>
      <c r="U14" s="166">
        <f t="shared" si="75"/>
        <v>160000</v>
      </c>
      <c r="V14" s="166">
        <f t="shared" si="76"/>
        <v>160000</v>
      </c>
      <c r="W14" s="166">
        <v>3200000</v>
      </c>
      <c r="X14" s="166"/>
      <c r="Y14" s="166"/>
      <c r="Z14" s="166"/>
      <c r="AA14" s="166">
        <f t="shared" si="77"/>
        <v>359408</v>
      </c>
      <c r="AB14" s="166"/>
      <c r="AC14" s="166"/>
      <c r="AD14" s="166"/>
      <c r="AE14" s="166">
        <f t="shared" si="78"/>
        <v>115200</v>
      </c>
      <c r="AF14" s="166">
        <f t="shared" si="79"/>
        <v>2725392</v>
      </c>
      <c r="AG14" s="166">
        <f t="shared" si="80"/>
        <v>227116</v>
      </c>
      <c r="AH14" s="162">
        <v>12</v>
      </c>
      <c r="AI14" s="162"/>
      <c r="AJ14" s="166">
        <f t="shared" si="81"/>
        <v>200000</v>
      </c>
      <c r="AK14" s="167">
        <f t="shared" si="82"/>
        <v>640000</v>
      </c>
      <c r="AL14" s="167">
        <f t="shared" si="83"/>
        <v>115200</v>
      </c>
      <c r="AM14" s="167"/>
      <c r="AN14" s="167"/>
      <c r="AO14" s="168">
        <f t="shared" si="84"/>
        <v>0</v>
      </c>
      <c r="AP14" s="162"/>
      <c r="AQ14" s="162"/>
      <c r="AR14" s="169">
        <f t="shared" si="85"/>
        <v>955200</v>
      </c>
      <c r="AS14" s="169">
        <f t="shared" si="86"/>
        <v>2244800</v>
      </c>
      <c r="AT14" s="170"/>
      <c r="AU14" s="166">
        <f t="shared" si="87"/>
        <v>21000.000000000004</v>
      </c>
      <c r="AV14" s="166">
        <f t="shared" si="88"/>
        <v>33000</v>
      </c>
      <c r="AW14" s="166">
        <f t="shared" si="89"/>
        <v>75000</v>
      </c>
      <c r="AX14" s="166">
        <f t="shared" si="90"/>
        <v>95000</v>
      </c>
      <c r="AY14" s="166">
        <f t="shared" si="91"/>
        <v>135408</v>
      </c>
      <c r="AZ14" s="166">
        <f t="shared" si="92"/>
        <v>0</v>
      </c>
      <c r="BA14" s="166">
        <f t="shared" si="93"/>
        <v>359408</v>
      </c>
      <c r="BB14" s="166">
        <f t="shared" si="94"/>
        <v>29950.666666666668</v>
      </c>
      <c r="BC14" s="167">
        <f t="shared" si="95"/>
        <v>32000</v>
      </c>
      <c r="BD14" s="167">
        <f t="shared" si="96"/>
        <v>2666.6666666666665</v>
      </c>
      <c r="BE14" s="166">
        <f t="shared" si="97"/>
        <v>12</v>
      </c>
      <c r="BF14" s="166">
        <f t="shared" si="98"/>
        <v>359408</v>
      </c>
      <c r="BG14" s="167">
        <f t="shared" si="99"/>
        <v>29950.666666666668</v>
      </c>
      <c r="BH14" s="147"/>
      <c r="BI14" s="171"/>
      <c r="BJ14" s="172"/>
    </row>
    <row r="15" spans="1:62" s="173" customFormat="1" ht="18.75" x14ac:dyDescent="0.3">
      <c r="A15" s="162">
        <f t="shared" si="26"/>
        <v>12</v>
      </c>
      <c r="B15" s="162"/>
      <c r="C15" s="162"/>
      <c r="D15" s="162"/>
      <c r="E15" s="162" t="s">
        <v>52</v>
      </c>
      <c r="F15" s="174" t="s">
        <v>147</v>
      </c>
      <c r="G15" s="164" t="s">
        <v>192</v>
      </c>
      <c r="H15" s="163" t="s">
        <v>177</v>
      </c>
      <c r="I15" s="165" t="s">
        <v>148</v>
      </c>
      <c r="J15" s="177" t="s">
        <v>160</v>
      </c>
      <c r="K15" s="163" t="s">
        <v>161</v>
      </c>
      <c r="L15" s="163" t="s">
        <v>173</v>
      </c>
      <c r="M15" s="166">
        <f t="shared" si="67"/>
        <v>480000</v>
      </c>
      <c r="N15" s="166">
        <f t="shared" si="68"/>
        <v>480000</v>
      </c>
      <c r="O15" s="166">
        <f t="shared" si="69"/>
        <v>480000</v>
      </c>
      <c r="P15" s="166">
        <f t="shared" si="70"/>
        <v>320000</v>
      </c>
      <c r="Q15" s="166">
        <f t="shared" si="71"/>
        <v>320000</v>
      </c>
      <c r="R15" s="166">
        <f t="shared" si="72"/>
        <v>320000</v>
      </c>
      <c r="S15" s="166">
        <f t="shared" si="73"/>
        <v>320000</v>
      </c>
      <c r="T15" s="166">
        <f t="shared" si="74"/>
        <v>160000</v>
      </c>
      <c r="U15" s="166">
        <f t="shared" si="75"/>
        <v>160000</v>
      </c>
      <c r="V15" s="166">
        <f t="shared" si="76"/>
        <v>160000</v>
      </c>
      <c r="W15" s="166">
        <v>3200000</v>
      </c>
      <c r="X15" s="166"/>
      <c r="Y15" s="166"/>
      <c r="Z15" s="166"/>
      <c r="AA15" s="166">
        <f t="shared" ref="AA15" si="101">BF15</f>
        <v>359408</v>
      </c>
      <c r="AB15" s="166"/>
      <c r="AC15" s="166"/>
      <c r="AD15" s="166"/>
      <c r="AE15" s="166">
        <f t="shared" ref="AE15" si="102">0.08*(M15+N15+O15)</f>
        <v>115200</v>
      </c>
      <c r="AF15" s="166">
        <f t="shared" ref="AF15" si="103">W15-X15-Y15-Z15-AA15-AB15-AE15+AD15-AC15</f>
        <v>2725392</v>
      </c>
      <c r="AG15" s="166">
        <f t="shared" si="80"/>
        <v>227116</v>
      </c>
      <c r="AH15" s="162">
        <v>12</v>
      </c>
      <c r="AI15" s="162"/>
      <c r="AJ15" s="166">
        <f t="shared" ref="AJ15" si="104">IF((1%*W15)&gt;200000,1%*W15,200000)</f>
        <v>200000</v>
      </c>
      <c r="AK15" s="167">
        <f t="shared" ref="AK15" si="105">0.2*W15</f>
        <v>640000</v>
      </c>
      <c r="AL15" s="167">
        <f t="shared" ref="AL15" si="106">AE15</f>
        <v>115200</v>
      </c>
      <c r="AM15" s="167"/>
      <c r="AN15" s="167"/>
      <c r="AO15" s="168">
        <f t="shared" ref="AO15" si="107">Z15</f>
        <v>0</v>
      </c>
      <c r="AP15" s="162"/>
      <c r="AQ15" s="162"/>
      <c r="AR15" s="169">
        <f t="shared" ref="AR15" si="108">SUM(AI15:AQ15)</f>
        <v>955200</v>
      </c>
      <c r="AS15" s="169">
        <f t="shared" ref="AS15" si="109">W15-AR15</f>
        <v>2244800</v>
      </c>
      <c r="AT15" s="170"/>
      <c r="AU15" s="166">
        <f t="shared" ref="AU15" si="110">IF(AS15&gt;=300000,$AU$3*$AU$2,AS15*$AU$3)</f>
        <v>21000.000000000004</v>
      </c>
      <c r="AV15" s="166">
        <f t="shared" ref="AV15" si="111">IF(AS15&gt;=($AU$2+$AV$2),$AV$3*$AV$2,(AS15-$AU$2)*$AV$3)</f>
        <v>33000</v>
      </c>
      <c r="AW15" s="166">
        <f t="shared" ref="AW15" si="112">IF(AS15&gt;=($AU$2+$AV$2+$AW$2),$AW$3*$AW$2,(AS15-($AU$2+$AV$2))*$AW$3)</f>
        <v>75000</v>
      </c>
      <c r="AX15" s="166">
        <f t="shared" ref="AX15" si="113">IF(AS15&gt;=($AU$2+$AV$2+$AW$2+$AX$2),$AX$3*$AX$2,(AS15-($AU$2+$AV$2+$AW$2))*$AX$3)</f>
        <v>95000</v>
      </c>
      <c r="AY15" s="166">
        <f t="shared" ref="AY15" si="114">IF(AS15&gt;=($AU$2+$AV$2+$AW$2+$AX$2+$AY$2),$AY$3*$AY$2,(AS15-($AU$2+$AV$2+$AW$2+$AX$2))*$AY$3)</f>
        <v>135408</v>
      </c>
      <c r="AZ15" s="166">
        <f t="shared" ref="AZ15" si="115">IF(AS15&gt;($AU$2+$AV$2+$AW$2+$AX$2+$AY$2),$AZ$3*(AS15-($AU$2+$AV$2+$AW$2+$AX$2+$AY$2)),0)</f>
        <v>0</v>
      </c>
      <c r="BA15" s="166">
        <f t="shared" ref="BA15" si="116">SUMIF(AU15:AZ15,"&gt;0",AU15:AZ15)</f>
        <v>359408</v>
      </c>
      <c r="BB15" s="166">
        <f t="shared" si="94"/>
        <v>29950.666666666668</v>
      </c>
      <c r="BC15" s="167">
        <f t="shared" si="95"/>
        <v>32000</v>
      </c>
      <c r="BD15" s="167">
        <f t="shared" si="96"/>
        <v>2666.6666666666665</v>
      </c>
      <c r="BE15" s="166">
        <f t="shared" ref="BE15" si="117">AH15</f>
        <v>12</v>
      </c>
      <c r="BF15" s="166">
        <f t="shared" ref="BF15" si="118">IF(BA15&gt;BC15,BB15*BE15,BD15*BE15)</f>
        <v>359408</v>
      </c>
      <c r="BG15" s="167">
        <f t="shared" si="99"/>
        <v>29950.666666666668</v>
      </c>
      <c r="BH15" s="147"/>
      <c r="BI15" s="171"/>
      <c r="BJ15" s="172"/>
    </row>
    <row r="16" spans="1:62" s="173" customFormat="1" ht="18.75" x14ac:dyDescent="0.3">
      <c r="A16" s="162"/>
      <c r="B16" s="162"/>
      <c r="C16" s="162"/>
      <c r="D16" s="162"/>
      <c r="E16" s="162"/>
      <c r="F16" s="174"/>
      <c r="G16" s="164"/>
      <c r="H16" s="163"/>
      <c r="I16" s="165"/>
      <c r="J16" s="177"/>
      <c r="K16" s="163"/>
      <c r="L16" s="163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2"/>
      <c r="AI16" s="162"/>
      <c r="AJ16" s="166"/>
      <c r="AK16" s="167"/>
      <c r="AL16" s="167"/>
      <c r="AM16" s="167"/>
      <c r="AN16" s="167"/>
      <c r="AO16" s="168"/>
      <c r="AP16" s="162"/>
      <c r="AQ16" s="162"/>
      <c r="AR16" s="169"/>
      <c r="AS16" s="169"/>
      <c r="AT16" s="170"/>
      <c r="AU16" s="166"/>
      <c r="AV16" s="166"/>
      <c r="AW16" s="166"/>
      <c r="AX16" s="166"/>
      <c r="AY16" s="166"/>
      <c r="AZ16" s="166"/>
      <c r="BA16" s="166"/>
      <c r="BB16" s="166"/>
      <c r="BC16" s="167"/>
      <c r="BD16" s="167"/>
      <c r="BE16" s="166"/>
      <c r="BF16" s="166"/>
      <c r="BG16" s="167"/>
      <c r="BH16" s="147"/>
      <c r="BI16" s="171"/>
      <c r="BJ16" s="172"/>
    </row>
    <row r="17" spans="1:62" s="173" customFormat="1" ht="18.75" x14ac:dyDescent="0.3">
      <c r="A17" s="162"/>
      <c r="B17" s="162"/>
      <c r="C17" s="162"/>
      <c r="D17" s="162"/>
      <c r="E17" s="162"/>
      <c r="F17" s="174"/>
      <c r="G17" s="164"/>
      <c r="H17" s="163"/>
      <c r="I17" s="165"/>
      <c r="J17" s="177"/>
      <c r="K17" s="163"/>
      <c r="L17" s="163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2"/>
      <c r="AI17" s="162"/>
      <c r="AJ17" s="166"/>
      <c r="AK17" s="167"/>
      <c r="AL17" s="167"/>
      <c r="AM17" s="167"/>
      <c r="AN17" s="167"/>
      <c r="AO17" s="168"/>
      <c r="AP17" s="162"/>
      <c r="AQ17" s="162"/>
      <c r="AR17" s="169"/>
      <c r="AS17" s="169"/>
      <c r="AT17" s="170"/>
      <c r="AU17" s="166"/>
      <c r="AV17" s="166"/>
      <c r="AW17" s="166"/>
      <c r="AX17" s="166"/>
      <c r="AY17" s="166"/>
      <c r="AZ17" s="166"/>
      <c r="BA17" s="166"/>
      <c r="BB17" s="166"/>
      <c r="BC17" s="167"/>
      <c r="BD17" s="167"/>
      <c r="BE17" s="166"/>
      <c r="BF17" s="166"/>
      <c r="BG17" s="167"/>
      <c r="BH17" s="147"/>
      <c r="BI17" s="171"/>
      <c r="BJ17" s="172"/>
    </row>
    <row r="18" spans="1:62" s="173" customFormat="1" ht="19.5" thickBot="1" x14ac:dyDescent="0.35">
      <c r="A18" s="162"/>
      <c r="B18" s="162"/>
      <c r="C18" s="162"/>
      <c r="D18" s="162"/>
      <c r="E18" s="162"/>
      <c r="F18" s="174"/>
      <c r="G18" s="164"/>
      <c r="H18" s="163"/>
      <c r="I18" s="165"/>
      <c r="J18" s="177"/>
      <c r="K18" s="163"/>
      <c r="L18" s="163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2"/>
      <c r="AI18" s="162"/>
      <c r="AJ18" s="166"/>
      <c r="AK18" s="167"/>
      <c r="AL18" s="167"/>
      <c r="AM18" s="167"/>
      <c r="AN18" s="167"/>
      <c r="AO18" s="168"/>
      <c r="AP18" s="162"/>
      <c r="AQ18" s="162"/>
      <c r="AR18" s="169"/>
      <c r="AS18" s="169"/>
      <c r="AT18" s="170"/>
      <c r="AU18" s="166"/>
      <c r="AV18" s="166"/>
      <c r="AW18" s="166"/>
      <c r="AX18" s="166"/>
      <c r="AY18" s="166"/>
      <c r="AZ18" s="166"/>
      <c r="BA18" s="166"/>
      <c r="BB18" s="166"/>
      <c r="BC18" s="167"/>
      <c r="BD18" s="167"/>
      <c r="BE18" s="166"/>
      <c r="BF18" s="166"/>
      <c r="BG18" s="167"/>
      <c r="BH18" s="147"/>
      <c r="BI18" s="171"/>
      <c r="BJ18" s="172"/>
    </row>
    <row r="19" spans="1:62" ht="16.5" thickBot="1" x14ac:dyDescent="0.3">
      <c r="A19" s="64"/>
      <c r="B19" s="64" t="s">
        <v>83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5">
        <f t="shared" ref="M19:BG19" si="119">SUM(M4:M14)</f>
        <v>4038115.9338449994</v>
      </c>
      <c r="N19" s="65">
        <f t="shared" si="119"/>
        <v>4038115.9338449994</v>
      </c>
      <c r="O19" s="65">
        <f t="shared" si="119"/>
        <v>4038115.9338449994</v>
      </c>
      <c r="P19" s="65">
        <f t="shared" si="119"/>
        <v>2692077.2892300002</v>
      </c>
      <c r="Q19" s="65">
        <f t="shared" si="119"/>
        <v>2692077.2892300002</v>
      </c>
      <c r="R19" s="65">
        <f t="shared" si="119"/>
        <v>2692077.2892300002</v>
      </c>
      <c r="S19" s="65">
        <f t="shared" si="119"/>
        <v>2692077.2892300002</v>
      </c>
      <c r="T19" s="65">
        <f t="shared" si="119"/>
        <v>1346038.6446150001</v>
      </c>
      <c r="U19" s="65">
        <f t="shared" si="119"/>
        <v>1346038.6446150001</v>
      </c>
      <c r="V19" s="65">
        <f t="shared" si="119"/>
        <v>1346038.6446150001</v>
      </c>
      <c r="W19" s="65">
        <f t="shared" si="119"/>
        <v>26920772.892299999</v>
      </c>
      <c r="X19" s="65">
        <f t="shared" si="119"/>
        <v>0</v>
      </c>
      <c r="Y19" s="65">
        <f t="shared" si="119"/>
        <v>0</v>
      </c>
      <c r="Z19" s="65">
        <f t="shared" si="119"/>
        <v>0</v>
      </c>
      <c r="AA19" s="65">
        <f t="shared" si="119"/>
        <v>2779845.1823584922</v>
      </c>
      <c r="AB19" s="65">
        <f t="shared" si="119"/>
        <v>0</v>
      </c>
      <c r="AC19" s="65">
        <f t="shared" si="119"/>
        <v>0</v>
      </c>
      <c r="AD19" s="65">
        <f t="shared" si="119"/>
        <v>0</v>
      </c>
      <c r="AE19" s="65">
        <f t="shared" si="119"/>
        <v>969147.82412279991</v>
      </c>
      <c r="AF19" s="65">
        <f t="shared" si="119"/>
        <v>23171779.885818709</v>
      </c>
      <c r="AG19" s="65">
        <f t="shared" si="119"/>
        <v>1930981.6571515591</v>
      </c>
      <c r="AH19" s="65">
        <f t="shared" si="119"/>
        <v>132</v>
      </c>
      <c r="AI19" s="65">
        <f t="shared" si="119"/>
        <v>0</v>
      </c>
      <c r="AJ19" s="65">
        <f t="shared" si="119"/>
        <v>2200000</v>
      </c>
      <c r="AK19" s="65">
        <f t="shared" si="119"/>
        <v>5384154.5784600005</v>
      </c>
      <c r="AL19" s="65">
        <f t="shared" si="119"/>
        <v>969147.82412279991</v>
      </c>
      <c r="AM19" s="65">
        <f t="shared" si="119"/>
        <v>0</v>
      </c>
      <c r="AN19" s="65">
        <f t="shared" si="119"/>
        <v>0</v>
      </c>
      <c r="AO19" s="65">
        <f t="shared" si="119"/>
        <v>0</v>
      </c>
      <c r="AP19" s="65">
        <f t="shared" si="119"/>
        <v>0</v>
      </c>
      <c r="AQ19" s="65">
        <f t="shared" si="119"/>
        <v>0</v>
      </c>
      <c r="AR19" s="65">
        <f t="shared" si="119"/>
        <v>8553302.4025827982</v>
      </c>
      <c r="AS19" s="65">
        <f t="shared" si="119"/>
        <v>18367470.4897172</v>
      </c>
      <c r="AT19" s="65">
        <f t="shared" si="119"/>
        <v>0</v>
      </c>
      <c r="AU19" s="65">
        <f t="shared" si="119"/>
        <v>231000.00000000003</v>
      </c>
      <c r="AV19" s="65">
        <f t="shared" si="119"/>
        <v>345102.09645529202</v>
      </c>
      <c r="AW19" s="65">
        <f t="shared" si="119"/>
        <v>641589.52218557987</v>
      </c>
      <c r="AX19" s="65">
        <f t="shared" si="119"/>
        <v>352387.3930462678</v>
      </c>
      <c r="AY19" s="65">
        <f t="shared" si="119"/>
        <v>-23295.197159388219</v>
      </c>
      <c r="AZ19" s="65">
        <f t="shared" si="119"/>
        <v>210816</v>
      </c>
      <c r="BA19" s="65">
        <f t="shared" si="119"/>
        <v>2779845.1823584922</v>
      </c>
      <c r="BB19" s="65">
        <f t="shared" si="119"/>
        <v>231653.76519654095</v>
      </c>
      <c r="BC19" s="65">
        <f t="shared" si="119"/>
        <v>269207.72892300005</v>
      </c>
      <c r="BD19" s="65">
        <f t="shared" si="119"/>
        <v>22433.977410250005</v>
      </c>
      <c r="BE19" s="65">
        <f t="shared" si="119"/>
        <v>132</v>
      </c>
      <c r="BF19" s="65">
        <f t="shared" si="119"/>
        <v>2779845.1823584922</v>
      </c>
      <c r="BG19" s="65">
        <f t="shared" si="119"/>
        <v>231653.76519654095</v>
      </c>
    </row>
    <row r="20" spans="1:62" ht="16.5" thickTop="1" x14ac:dyDescent="0.25">
      <c r="A20" s="47">
        <v>1</v>
      </c>
      <c r="B20" s="47">
        <f>A20+1</f>
        <v>2</v>
      </c>
      <c r="C20" s="47">
        <f t="shared" ref="C20:BG20" si="120">B20+1</f>
        <v>3</v>
      </c>
      <c r="D20" s="47">
        <f t="shared" si="120"/>
        <v>4</v>
      </c>
      <c r="E20" s="47">
        <f t="shared" si="120"/>
        <v>5</v>
      </c>
      <c r="F20" s="47">
        <f t="shared" si="120"/>
        <v>6</v>
      </c>
      <c r="G20" s="47">
        <f t="shared" si="120"/>
        <v>7</v>
      </c>
      <c r="H20" s="47">
        <f t="shared" si="120"/>
        <v>8</v>
      </c>
      <c r="I20" s="47">
        <f t="shared" si="120"/>
        <v>9</v>
      </c>
      <c r="J20" s="47">
        <v>10</v>
      </c>
      <c r="K20" s="47">
        <v>11</v>
      </c>
      <c r="L20" s="47">
        <v>12</v>
      </c>
      <c r="M20" s="47">
        <f t="shared" si="120"/>
        <v>13</v>
      </c>
      <c r="N20" s="47">
        <f t="shared" si="120"/>
        <v>14</v>
      </c>
      <c r="O20" s="47">
        <f t="shared" si="120"/>
        <v>15</v>
      </c>
      <c r="P20" s="47">
        <f t="shared" si="120"/>
        <v>16</v>
      </c>
      <c r="Q20" s="47">
        <f t="shared" si="120"/>
        <v>17</v>
      </c>
      <c r="R20" s="47">
        <f t="shared" si="120"/>
        <v>18</v>
      </c>
      <c r="S20" s="47">
        <f t="shared" si="120"/>
        <v>19</v>
      </c>
      <c r="T20" s="47">
        <f t="shared" si="120"/>
        <v>20</v>
      </c>
      <c r="U20" s="47">
        <f t="shared" si="120"/>
        <v>21</v>
      </c>
      <c r="V20" s="47">
        <f t="shared" si="120"/>
        <v>22</v>
      </c>
      <c r="W20" s="47">
        <f t="shared" si="120"/>
        <v>23</v>
      </c>
      <c r="X20" s="47">
        <f t="shared" si="120"/>
        <v>24</v>
      </c>
      <c r="Y20" s="47">
        <f t="shared" si="120"/>
        <v>25</v>
      </c>
      <c r="Z20" s="47">
        <f t="shared" si="120"/>
        <v>26</v>
      </c>
      <c r="AA20" s="47">
        <f t="shared" si="120"/>
        <v>27</v>
      </c>
      <c r="AB20" s="47">
        <f t="shared" si="120"/>
        <v>28</v>
      </c>
      <c r="AC20" s="47">
        <f t="shared" si="120"/>
        <v>29</v>
      </c>
      <c r="AD20" s="47">
        <f t="shared" si="120"/>
        <v>30</v>
      </c>
      <c r="AE20" s="47">
        <f t="shared" si="120"/>
        <v>31</v>
      </c>
      <c r="AF20" s="47">
        <f t="shared" si="120"/>
        <v>32</v>
      </c>
      <c r="AG20" s="47">
        <f t="shared" si="120"/>
        <v>33</v>
      </c>
      <c r="AH20" s="47">
        <f t="shared" si="120"/>
        <v>34</v>
      </c>
      <c r="AI20" s="47">
        <f t="shared" si="120"/>
        <v>35</v>
      </c>
      <c r="AJ20" s="47">
        <f t="shared" si="120"/>
        <v>36</v>
      </c>
      <c r="AK20" s="47">
        <f t="shared" si="120"/>
        <v>37</v>
      </c>
      <c r="AL20" s="47">
        <f t="shared" si="120"/>
        <v>38</v>
      </c>
      <c r="AM20" s="47">
        <f t="shared" si="120"/>
        <v>39</v>
      </c>
      <c r="AN20" s="47">
        <f t="shared" si="120"/>
        <v>40</v>
      </c>
      <c r="AO20" s="47">
        <f t="shared" si="120"/>
        <v>41</v>
      </c>
      <c r="AP20" s="47">
        <f t="shared" si="120"/>
        <v>42</v>
      </c>
      <c r="AQ20" s="47">
        <f t="shared" si="120"/>
        <v>43</v>
      </c>
      <c r="AR20" s="47">
        <f t="shared" si="120"/>
        <v>44</v>
      </c>
      <c r="AS20" s="47">
        <f t="shared" si="120"/>
        <v>45</v>
      </c>
      <c r="AT20" s="47">
        <f t="shared" si="120"/>
        <v>46</v>
      </c>
      <c r="AU20" s="47">
        <f t="shared" si="120"/>
        <v>47</v>
      </c>
      <c r="AV20" s="47">
        <f t="shared" si="120"/>
        <v>48</v>
      </c>
      <c r="AW20" s="47">
        <f t="shared" si="120"/>
        <v>49</v>
      </c>
      <c r="AX20" s="47">
        <f t="shared" si="120"/>
        <v>50</v>
      </c>
      <c r="AY20" s="47">
        <f t="shared" si="120"/>
        <v>51</v>
      </c>
      <c r="AZ20" s="47">
        <f t="shared" si="120"/>
        <v>52</v>
      </c>
      <c r="BA20" s="47">
        <f t="shared" si="120"/>
        <v>53</v>
      </c>
      <c r="BB20" s="47">
        <f t="shared" si="120"/>
        <v>54</v>
      </c>
      <c r="BC20" s="47">
        <f t="shared" si="120"/>
        <v>55</v>
      </c>
      <c r="BD20" s="47">
        <f t="shared" si="120"/>
        <v>56</v>
      </c>
      <c r="BE20" s="47">
        <f t="shared" si="120"/>
        <v>57</v>
      </c>
      <c r="BF20" s="47">
        <f t="shared" si="120"/>
        <v>58</v>
      </c>
      <c r="BG20" s="47">
        <f t="shared" si="120"/>
        <v>59</v>
      </c>
    </row>
  </sheetData>
  <mergeCells count="1">
    <mergeCell ref="A2:B2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6"/>
  <sheetViews>
    <sheetView view="pageBreakPreview" topLeftCell="A5" zoomScale="125" zoomScaleNormal="125" zoomScalePageLayoutView="125" workbookViewId="0">
      <selection activeCell="B16" sqref="B16"/>
    </sheetView>
  </sheetViews>
  <sheetFormatPr defaultColWidth="8.85546875" defaultRowHeight="15" x14ac:dyDescent="0.25"/>
  <cols>
    <col min="3" max="3" width="40.140625" customWidth="1"/>
    <col min="4" max="4" width="24.42578125" bestFit="1" customWidth="1"/>
    <col min="5" max="5" width="19.28515625" bestFit="1" customWidth="1"/>
    <col min="6" max="6" width="18.85546875" customWidth="1"/>
    <col min="7" max="7" width="10.42578125" customWidth="1"/>
  </cols>
  <sheetData>
    <row r="1" spans="1:7" ht="15.75" x14ac:dyDescent="0.25">
      <c r="A1" s="23"/>
      <c r="B1" s="23"/>
      <c r="C1" s="23"/>
      <c r="D1" s="23"/>
      <c r="E1" s="24"/>
      <c r="F1" s="24"/>
      <c r="G1" s="23"/>
    </row>
    <row r="2" spans="1:7" ht="15.75" x14ac:dyDescent="0.25">
      <c r="A2" s="23"/>
      <c r="B2" s="23"/>
      <c r="C2" s="23"/>
      <c r="D2" s="23"/>
      <c r="E2" s="24"/>
      <c r="F2" s="24"/>
      <c r="G2" s="23"/>
    </row>
    <row r="3" spans="1:7" ht="15.75" x14ac:dyDescent="0.25">
      <c r="A3" s="23"/>
      <c r="B3" s="23"/>
      <c r="C3" s="23"/>
      <c r="D3" s="23"/>
      <c r="E3" s="24"/>
      <c r="F3" s="24"/>
      <c r="G3" s="23"/>
    </row>
    <row r="4" spans="1:7" ht="15.75" x14ac:dyDescent="0.25">
      <c r="A4" s="23" t="s">
        <v>85</v>
      </c>
      <c r="B4" s="23"/>
      <c r="C4" s="23"/>
      <c r="D4" s="23"/>
      <c r="E4" s="24"/>
      <c r="F4" s="24"/>
      <c r="G4" s="23"/>
    </row>
    <row r="5" spans="1:7" ht="15.75" x14ac:dyDescent="0.25">
      <c r="A5" s="23"/>
      <c r="B5" s="23"/>
      <c r="C5" s="23"/>
      <c r="D5" s="23"/>
      <c r="E5" s="24"/>
      <c r="F5" s="24"/>
      <c r="G5" s="23"/>
    </row>
    <row r="6" spans="1:7" ht="18.75" x14ac:dyDescent="0.3">
      <c r="A6" s="23"/>
      <c r="B6" s="25"/>
      <c r="C6" s="26" t="str">
        <f>'MONTHLY PAYROLL'!B3</f>
        <v>25th November 2020</v>
      </c>
      <c r="D6" s="27"/>
      <c r="E6" s="28"/>
      <c r="F6" s="28"/>
      <c r="G6" s="23"/>
    </row>
    <row r="7" spans="1:7" ht="18.75" x14ac:dyDescent="0.3">
      <c r="A7" s="23"/>
      <c r="B7" s="29"/>
      <c r="C7" s="29"/>
      <c r="D7" s="27"/>
      <c r="E7" s="30"/>
      <c r="F7" s="30"/>
      <c r="G7" s="23"/>
    </row>
    <row r="8" spans="1:7" s="110" customFormat="1" ht="21" x14ac:dyDescent="0.35">
      <c r="A8" s="108"/>
      <c r="B8" s="108" t="s">
        <v>86</v>
      </c>
      <c r="C8" s="111"/>
      <c r="D8" s="108"/>
      <c r="E8" s="109"/>
      <c r="F8" s="109"/>
      <c r="G8" s="108"/>
    </row>
    <row r="9" spans="1:7" s="110" customFormat="1" ht="21" x14ac:dyDescent="0.35">
      <c r="A9" s="108"/>
      <c r="B9" s="111" t="s">
        <v>148</v>
      </c>
      <c r="C9" s="108"/>
      <c r="D9" s="108"/>
      <c r="E9" s="109"/>
      <c r="F9" s="109"/>
      <c r="G9" s="108"/>
    </row>
    <row r="10" spans="1:7" s="110" customFormat="1" ht="21" x14ac:dyDescent="0.35">
      <c r="A10" s="108"/>
      <c r="B10" s="108" t="s">
        <v>179</v>
      </c>
      <c r="C10" s="108"/>
      <c r="D10" s="108"/>
      <c r="E10" s="109"/>
      <c r="F10" s="109"/>
      <c r="G10" s="108"/>
    </row>
    <row r="11" spans="1:7" s="110" customFormat="1" ht="21" x14ac:dyDescent="0.35">
      <c r="A11" s="108"/>
      <c r="B11" s="108" t="s">
        <v>180</v>
      </c>
      <c r="C11" s="108"/>
      <c r="D11" s="108"/>
      <c r="E11" s="109"/>
      <c r="F11" s="109"/>
      <c r="G11" s="108"/>
    </row>
    <row r="12" spans="1:7" s="110" customFormat="1" ht="21" x14ac:dyDescent="0.35">
      <c r="A12" s="108"/>
      <c r="B12" s="187" t="s">
        <v>181</v>
      </c>
      <c r="C12" s="187"/>
      <c r="D12" s="108"/>
      <c r="E12" s="109"/>
      <c r="F12" s="109"/>
      <c r="G12" s="108"/>
    </row>
    <row r="13" spans="1:7" s="110" customFormat="1" ht="21" x14ac:dyDescent="0.35">
      <c r="A13" s="108"/>
      <c r="B13" s="111"/>
      <c r="C13" s="111"/>
      <c r="D13" s="108"/>
      <c r="E13" s="109"/>
      <c r="F13" s="109"/>
      <c r="G13" s="108"/>
    </row>
    <row r="14" spans="1:7" s="110" customFormat="1" ht="21" x14ac:dyDescent="0.35">
      <c r="A14" s="108"/>
      <c r="B14" s="108" t="s">
        <v>87</v>
      </c>
      <c r="C14" s="108"/>
      <c r="D14" s="108"/>
      <c r="E14" s="109"/>
      <c r="F14" s="109"/>
      <c r="G14" s="108"/>
    </row>
    <row r="15" spans="1:7" s="110" customFormat="1" ht="21" x14ac:dyDescent="0.35">
      <c r="A15" s="108"/>
      <c r="B15" s="112" t="s">
        <v>185</v>
      </c>
      <c r="C15" s="112"/>
      <c r="D15" s="113"/>
      <c r="E15" s="113"/>
      <c r="F15" s="113"/>
      <c r="G15" s="108"/>
    </row>
    <row r="16" spans="1:7" s="110" customFormat="1" ht="21" x14ac:dyDescent="0.35">
      <c r="A16" s="108"/>
      <c r="B16" s="108" t="s">
        <v>183</v>
      </c>
      <c r="C16" s="108"/>
      <c r="D16" s="108"/>
      <c r="E16" s="109"/>
      <c r="F16" s="109"/>
      <c r="G16" s="108"/>
    </row>
    <row r="17" spans="1:7" s="110" customFormat="1" ht="21" x14ac:dyDescent="0.35">
      <c r="A17" s="108"/>
      <c r="B17" s="114" t="s">
        <v>182</v>
      </c>
      <c r="C17" s="108"/>
      <c r="D17" s="108"/>
      <c r="E17" s="109"/>
      <c r="F17" s="109"/>
      <c r="G17" s="108"/>
    </row>
    <row r="18" spans="1:7" s="110" customFormat="1" ht="21" x14ac:dyDescent="0.35">
      <c r="A18" s="108"/>
      <c r="B18" s="108" t="s">
        <v>88</v>
      </c>
      <c r="C18" s="108"/>
      <c r="D18" s="108"/>
      <c r="E18" s="109"/>
      <c r="F18" s="109"/>
      <c r="G18" s="108"/>
    </row>
    <row r="19" spans="1:7" ht="18.75" x14ac:dyDescent="0.3">
      <c r="A19" s="23"/>
      <c r="B19" s="27"/>
      <c r="C19" s="23"/>
      <c r="D19" s="23"/>
      <c r="E19" s="24"/>
      <c r="F19" s="24"/>
      <c r="G19" s="23"/>
    </row>
    <row r="20" spans="1:7" ht="16.5" thickBot="1" x14ac:dyDescent="0.3">
      <c r="A20" s="23"/>
      <c r="C20" s="46" t="s">
        <v>117</v>
      </c>
      <c r="D20" s="45" t="str">
        <f>C6</f>
        <v>25th November 2020</v>
      </c>
      <c r="E20" s="31" t="s">
        <v>116</v>
      </c>
      <c r="F20" s="31"/>
      <c r="G20" s="23"/>
    </row>
    <row r="21" spans="1:7" ht="15.75" x14ac:dyDescent="0.25">
      <c r="A21" s="23"/>
      <c r="B21" s="32" t="s">
        <v>89</v>
      </c>
      <c r="C21" s="33" t="s">
        <v>41</v>
      </c>
      <c r="D21" s="33" t="s">
        <v>46</v>
      </c>
      <c r="E21" s="34" t="s">
        <v>118</v>
      </c>
      <c r="F21" s="34" t="s">
        <v>90</v>
      </c>
      <c r="G21" s="23"/>
    </row>
    <row r="22" spans="1:7" s="176" customFormat="1" ht="18.75" x14ac:dyDescent="0.3">
      <c r="A22" s="27"/>
      <c r="B22" s="103">
        <v>1</v>
      </c>
      <c r="C22" s="104" t="str">
        <f t="shared" ref="C22:C26" si="0">VLOOKUP(B22,sec,2,FALSE)</f>
        <v>Thelma Nojeem</v>
      </c>
      <c r="D22" s="105" t="str">
        <f t="shared" ref="D22:D26" si="1">VLOOKUP(B22,sec,5,FALSE)</f>
        <v>Sample Bank Plc</v>
      </c>
      <c r="E22" s="105" t="str">
        <f t="shared" ref="E22:E26" si="2">VLOOKUP(B22,sec,6,FALSE)</f>
        <v>00045879088</v>
      </c>
      <c r="F22" s="106">
        <f t="shared" ref="F22:F26" si="3">VLOOKUP(B22,sec,35,FALSE)</f>
        <v>99999.997707833332</v>
      </c>
      <c r="G22" s="27"/>
    </row>
    <row r="23" spans="1:7" s="176" customFormat="1" ht="18.75" x14ac:dyDescent="0.3">
      <c r="A23" s="27"/>
      <c r="B23" s="103">
        <f>B22+1</f>
        <v>2</v>
      </c>
      <c r="C23" s="104" t="str">
        <f t="shared" si="0"/>
        <v>Kafaya Aniefiok</v>
      </c>
      <c r="D23" s="105" t="str">
        <f t="shared" si="1"/>
        <v>Sample Bank Plc</v>
      </c>
      <c r="E23" s="105" t="str">
        <f t="shared" si="2"/>
        <v>00045879089</v>
      </c>
      <c r="F23" s="106">
        <f t="shared" si="3"/>
        <v>99999.997707833332</v>
      </c>
      <c r="G23" s="27"/>
    </row>
    <row r="24" spans="1:7" s="176" customFormat="1" ht="18.75" x14ac:dyDescent="0.3">
      <c r="A24" s="27"/>
      <c r="B24" s="103">
        <f t="shared" ref="B24:B33" si="4">B23+1</f>
        <v>3</v>
      </c>
      <c r="C24" s="104" t="str">
        <f t="shared" si="0"/>
        <v>Akpan Salawu</v>
      </c>
      <c r="D24" s="105" t="str">
        <f t="shared" si="1"/>
        <v>Sample Bank Plc</v>
      </c>
      <c r="E24" s="105" t="str">
        <f t="shared" si="2"/>
        <v>00045879090</v>
      </c>
      <c r="F24" s="106">
        <f t="shared" si="3"/>
        <v>385632</v>
      </c>
      <c r="G24" s="27"/>
    </row>
    <row r="25" spans="1:7" s="176" customFormat="1" ht="18.75" x14ac:dyDescent="0.3">
      <c r="A25" s="27"/>
      <c r="B25" s="103">
        <f t="shared" si="4"/>
        <v>4</v>
      </c>
      <c r="C25" s="104" t="str">
        <f t="shared" si="0"/>
        <v>Queen Amachree</v>
      </c>
      <c r="D25" s="105" t="str">
        <f t="shared" si="1"/>
        <v>Sample Bank Plc</v>
      </c>
      <c r="E25" s="105" t="str">
        <f t="shared" si="2"/>
        <v>00045879091</v>
      </c>
      <c r="F25" s="106">
        <f t="shared" si="3"/>
        <v>64001.666663492346</v>
      </c>
      <c r="G25" s="27"/>
    </row>
    <row r="26" spans="1:7" s="176" customFormat="1" ht="18.75" x14ac:dyDescent="0.3">
      <c r="A26" s="27"/>
      <c r="B26" s="103">
        <f t="shared" si="4"/>
        <v>5</v>
      </c>
      <c r="C26" s="104" t="str">
        <f t="shared" si="0"/>
        <v>Chukwuemema Buhari</v>
      </c>
      <c r="D26" s="105" t="str">
        <f t="shared" si="1"/>
        <v>Sample Bank Plc</v>
      </c>
      <c r="E26" s="105" t="str">
        <f t="shared" si="2"/>
        <v>00045879092</v>
      </c>
      <c r="F26" s="106">
        <f t="shared" si="3"/>
        <v>149999.99876810002</v>
      </c>
      <c r="G26" s="27"/>
    </row>
    <row r="27" spans="1:7" s="107" customFormat="1" ht="18.75" x14ac:dyDescent="0.3">
      <c r="A27" s="27"/>
      <c r="B27" s="103">
        <f t="shared" si="4"/>
        <v>6</v>
      </c>
      <c r="C27" s="104" t="str">
        <f t="shared" ref="C27" si="5">VLOOKUP(B27,sec,2,FALSE)</f>
        <v>Prisca John</v>
      </c>
      <c r="D27" s="105" t="str">
        <f t="shared" ref="D27" si="6">VLOOKUP(B27,sec,5,FALSE)</f>
        <v>Sample Bank Plc</v>
      </c>
      <c r="E27" s="105" t="str">
        <f t="shared" ref="E27" si="7">VLOOKUP(B27,sec,6,FALSE)</f>
        <v>00045879093</v>
      </c>
      <c r="F27" s="106">
        <f t="shared" ref="F27" si="8">VLOOKUP(B27,sec,35,FALSE)</f>
        <v>227115.99999999994</v>
      </c>
      <c r="G27" s="27"/>
    </row>
    <row r="28" spans="1:7" s="107" customFormat="1" ht="18.75" x14ac:dyDescent="0.3">
      <c r="A28" s="27"/>
      <c r="B28" s="103">
        <f t="shared" si="4"/>
        <v>7</v>
      </c>
      <c r="C28" s="104" t="str">
        <f t="shared" ref="C28:C33" si="9">VLOOKUP(B28,sec,2,FALSE)</f>
        <v>Bobo Samba</v>
      </c>
      <c r="D28" s="105" t="str">
        <f t="shared" ref="D28:D33" si="10">VLOOKUP(B28,sec,5,FALSE)</f>
        <v>Sample Bank Plc</v>
      </c>
      <c r="E28" s="105" t="str">
        <f t="shared" ref="E28:E33" si="11">VLOOKUP(B28,sec,6,FALSE)</f>
        <v>00045879094</v>
      </c>
      <c r="F28" s="106">
        <f t="shared" ref="F28:F33" si="12">VLOOKUP(B28,sec,35,FALSE)</f>
        <v>149999.99876810002</v>
      </c>
      <c r="G28" s="27"/>
    </row>
    <row r="29" spans="1:7" s="107" customFormat="1" ht="18.75" x14ac:dyDescent="0.3">
      <c r="A29" s="29"/>
      <c r="B29" s="103">
        <f t="shared" si="4"/>
        <v>8</v>
      </c>
      <c r="C29" s="104" t="str">
        <f t="shared" si="9"/>
        <v>Jimoh Chinedu</v>
      </c>
      <c r="D29" s="105" t="str">
        <f t="shared" si="10"/>
        <v>Sample Bank Plc</v>
      </c>
      <c r="E29" s="105" t="str">
        <f t="shared" si="11"/>
        <v>00045879095</v>
      </c>
      <c r="F29" s="106">
        <f t="shared" si="12"/>
        <v>149999.99876810002</v>
      </c>
      <c r="G29" s="29"/>
    </row>
    <row r="30" spans="1:7" s="107" customFormat="1" ht="18.75" x14ac:dyDescent="0.3">
      <c r="A30" s="27"/>
      <c r="B30" s="103">
        <f t="shared" si="4"/>
        <v>9</v>
      </c>
      <c r="C30" s="104" t="str">
        <f t="shared" si="9"/>
        <v>Simon Ibrahim</v>
      </c>
      <c r="D30" s="105" t="str">
        <f t="shared" si="10"/>
        <v>Sample Bank Plc</v>
      </c>
      <c r="E30" s="105" t="str">
        <f t="shared" si="11"/>
        <v>00045879096</v>
      </c>
      <c r="F30" s="106">
        <f t="shared" si="12"/>
        <v>149999.99876810002</v>
      </c>
      <c r="G30" s="27"/>
    </row>
    <row r="31" spans="1:7" s="107" customFormat="1" ht="18.75" x14ac:dyDescent="0.3">
      <c r="A31" s="27"/>
      <c r="B31" s="103">
        <f t="shared" si="4"/>
        <v>10</v>
      </c>
      <c r="C31" s="104" t="str">
        <f t="shared" si="9"/>
        <v>Amaka Raji</v>
      </c>
      <c r="D31" s="105" t="str">
        <f t="shared" si="10"/>
        <v>Sample Bank Plc</v>
      </c>
      <c r="E31" s="105" t="str">
        <f t="shared" si="11"/>
        <v>00045879097</v>
      </c>
      <c r="F31" s="106">
        <f t="shared" si="12"/>
        <v>227115.99999999994</v>
      </c>
      <c r="G31" s="27"/>
    </row>
    <row r="32" spans="1:7" s="107" customFormat="1" ht="18.75" x14ac:dyDescent="0.3">
      <c r="A32" s="27"/>
      <c r="B32" s="103">
        <f t="shared" si="4"/>
        <v>11</v>
      </c>
      <c r="C32" s="104" t="str">
        <f t="shared" si="9"/>
        <v>Charles Abubakar</v>
      </c>
      <c r="D32" s="105" t="str">
        <f t="shared" si="10"/>
        <v>Sample Bank Plc</v>
      </c>
      <c r="E32" s="105" t="str">
        <f t="shared" si="11"/>
        <v>00045879098</v>
      </c>
      <c r="F32" s="106">
        <f t="shared" si="12"/>
        <v>227115.99999999994</v>
      </c>
      <c r="G32" s="27"/>
    </row>
    <row r="33" spans="1:7" s="107" customFormat="1" ht="18.75" x14ac:dyDescent="0.3">
      <c r="A33" s="27"/>
      <c r="B33" s="103">
        <f t="shared" si="4"/>
        <v>12</v>
      </c>
      <c r="C33" s="104" t="str">
        <f t="shared" si="9"/>
        <v>Boma Daudu</v>
      </c>
      <c r="D33" s="105" t="str">
        <f t="shared" si="10"/>
        <v>Sample Bank Plc</v>
      </c>
      <c r="E33" s="105" t="str">
        <f t="shared" si="11"/>
        <v>00045879099</v>
      </c>
      <c r="F33" s="106">
        <f t="shared" si="12"/>
        <v>227115.99999999994</v>
      </c>
      <c r="G33" s="27"/>
    </row>
    <row r="34" spans="1:7" s="107" customFormat="1" ht="18.75" x14ac:dyDescent="0.3">
      <c r="A34" s="27"/>
      <c r="B34" s="103"/>
      <c r="C34" s="104"/>
      <c r="D34" s="105"/>
      <c r="E34" s="105"/>
      <c r="F34" s="106"/>
      <c r="G34" s="27"/>
    </row>
    <row r="35" spans="1:7" s="107" customFormat="1" ht="18.75" x14ac:dyDescent="0.3">
      <c r="A35" s="27"/>
      <c r="B35" s="103"/>
      <c r="C35" s="104"/>
      <c r="D35" s="105"/>
      <c r="E35" s="105"/>
      <c r="F35" s="106"/>
      <c r="G35" s="27"/>
    </row>
    <row r="36" spans="1:7" s="107" customFormat="1" ht="18.75" x14ac:dyDescent="0.3">
      <c r="A36" s="27"/>
      <c r="B36" s="103"/>
      <c r="C36" s="104"/>
      <c r="D36" s="105"/>
      <c r="E36" s="105"/>
      <c r="F36" s="106"/>
      <c r="G36" s="27"/>
    </row>
    <row r="37" spans="1:7" s="107" customFormat="1" ht="18.75" x14ac:dyDescent="0.3">
      <c r="A37" s="27"/>
      <c r="B37" s="103"/>
      <c r="C37" s="104"/>
      <c r="D37" s="105"/>
      <c r="E37" s="105"/>
      <c r="F37" s="106"/>
      <c r="G37" s="27"/>
    </row>
    <row r="38" spans="1:7" s="107" customFormat="1" ht="18.75" x14ac:dyDescent="0.3">
      <c r="A38" s="27"/>
      <c r="B38" s="103"/>
      <c r="C38" s="104"/>
      <c r="D38" s="105"/>
      <c r="E38" s="105"/>
      <c r="F38" s="106"/>
      <c r="G38" s="27"/>
    </row>
    <row r="39" spans="1:7" s="107" customFormat="1" ht="18.75" x14ac:dyDescent="0.3">
      <c r="A39" s="27"/>
      <c r="B39" s="103"/>
      <c r="C39" s="104"/>
      <c r="D39" s="105"/>
      <c r="E39" s="105"/>
      <c r="F39" s="106"/>
      <c r="G39" s="27"/>
    </row>
    <row r="40" spans="1:7" s="107" customFormat="1" ht="18.75" x14ac:dyDescent="0.3">
      <c r="A40" s="27"/>
      <c r="B40" s="103"/>
      <c r="C40" s="104"/>
      <c r="D40" s="105"/>
      <c r="E40" s="105"/>
      <c r="F40" s="106"/>
      <c r="G40" s="27"/>
    </row>
    <row r="41" spans="1:7" s="107" customFormat="1" ht="18.75" x14ac:dyDescent="0.3">
      <c r="A41" s="27"/>
      <c r="B41" s="103"/>
      <c r="C41" s="104"/>
      <c r="D41" s="105"/>
      <c r="E41" s="105"/>
      <c r="F41" s="106"/>
      <c r="G41" s="27"/>
    </row>
    <row r="42" spans="1:7" s="107" customFormat="1" ht="18.75" x14ac:dyDescent="0.3">
      <c r="A42" s="27"/>
      <c r="B42" s="103"/>
      <c r="C42" s="104"/>
      <c r="D42" s="105"/>
      <c r="E42" s="105"/>
      <c r="F42" s="106"/>
      <c r="G42" s="27"/>
    </row>
    <row r="43" spans="1:7" s="107" customFormat="1" ht="18.75" x14ac:dyDescent="0.3">
      <c r="A43" s="27"/>
      <c r="B43" s="103"/>
      <c r="C43" s="104"/>
      <c r="D43" s="105"/>
      <c r="E43" s="105"/>
      <c r="F43" s="106"/>
      <c r="G43" s="27"/>
    </row>
    <row r="44" spans="1:7" s="110" customFormat="1" ht="21" x14ac:dyDescent="0.35">
      <c r="A44" s="108"/>
      <c r="B44" s="120"/>
      <c r="C44" s="121"/>
      <c r="D44" s="122"/>
      <c r="E44" s="122"/>
      <c r="F44" s="123"/>
      <c r="G44" s="108"/>
    </row>
    <row r="45" spans="1:7" s="110" customFormat="1" ht="21" x14ac:dyDescent="0.35">
      <c r="A45" s="108"/>
      <c r="B45" s="120"/>
      <c r="C45" s="121"/>
      <c r="D45" s="122"/>
      <c r="E45" s="122"/>
      <c r="F45" s="123"/>
      <c r="G45" s="108"/>
    </row>
    <row r="46" spans="1:7" s="107" customFormat="1" ht="18.75" x14ac:dyDescent="0.3">
      <c r="A46" s="27"/>
      <c r="B46" s="103"/>
      <c r="C46" s="104"/>
      <c r="D46" s="105"/>
      <c r="E46" s="105"/>
      <c r="F46" s="106"/>
      <c r="G46" s="27"/>
    </row>
    <row r="47" spans="1:7" s="110" customFormat="1" ht="21.75" thickBot="1" x14ac:dyDescent="0.4">
      <c r="A47" s="108"/>
      <c r="B47" s="117"/>
      <c r="C47" s="118"/>
      <c r="D47" s="119"/>
      <c r="E47" s="119"/>
      <c r="F47" s="115">
        <f>SUM(F22:F46)</f>
        <v>2158097.6571515589</v>
      </c>
      <c r="G47" s="108"/>
    </row>
    <row r="48" spans="1:7" ht="15.75" x14ac:dyDescent="0.25">
      <c r="A48" s="23"/>
      <c r="B48" s="36"/>
      <c r="C48" s="37"/>
      <c r="D48" s="38"/>
      <c r="E48" s="38"/>
      <c r="F48" s="35"/>
      <c r="G48" s="23"/>
    </row>
    <row r="49" spans="1:7" ht="15.75" x14ac:dyDescent="0.25">
      <c r="A49" s="23"/>
      <c r="B49" s="36"/>
      <c r="C49" s="37"/>
      <c r="D49" s="38"/>
      <c r="E49" s="38"/>
      <c r="F49" s="35"/>
      <c r="G49" s="23"/>
    </row>
    <row r="50" spans="1:7" ht="15.75" x14ac:dyDescent="0.25">
      <c r="A50" s="23"/>
      <c r="B50" s="36"/>
      <c r="C50" s="37"/>
      <c r="D50" s="38"/>
      <c r="E50" s="38"/>
      <c r="F50" s="35"/>
      <c r="G50" s="23"/>
    </row>
    <row r="51" spans="1:7" ht="15.75" x14ac:dyDescent="0.25">
      <c r="A51" s="23"/>
      <c r="B51" s="36"/>
      <c r="C51" s="37"/>
      <c r="D51" s="38"/>
      <c r="E51" s="35"/>
      <c r="F51" s="35"/>
      <c r="G51" s="23"/>
    </row>
    <row r="52" spans="1:7" ht="15.75" x14ac:dyDescent="0.25">
      <c r="A52" s="23"/>
      <c r="B52" s="36"/>
      <c r="C52" s="37"/>
      <c r="D52" s="38"/>
      <c r="E52" s="35"/>
      <c r="F52" s="35"/>
      <c r="G52" s="23"/>
    </row>
    <row r="53" spans="1:7" s="1" customFormat="1" ht="18.75" x14ac:dyDescent="0.3">
      <c r="A53" s="41"/>
      <c r="B53" s="39" t="s">
        <v>91</v>
      </c>
      <c r="C53" s="116"/>
      <c r="D53" s="124"/>
      <c r="E53" s="35"/>
      <c r="F53" s="35"/>
      <c r="G53" s="41"/>
    </row>
    <row r="54" spans="1:7" ht="18.75" x14ac:dyDescent="0.3">
      <c r="A54" s="23"/>
      <c r="B54" s="39"/>
      <c r="C54" s="37"/>
      <c r="D54" s="38"/>
      <c r="E54" s="40"/>
      <c r="F54" s="40"/>
      <c r="G54" s="23"/>
    </row>
    <row r="55" spans="1:7" ht="18.75" x14ac:dyDescent="0.3">
      <c r="A55" s="23"/>
      <c r="B55" s="39"/>
      <c r="C55" s="37"/>
      <c r="D55" s="38"/>
      <c r="E55" s="40"/>
      <c r="F55" s="40"/>
      <c r="G55" s="23"/>
    </row>
    <row r="56" spans="1:7" ht="18.75" x14ac:dyDescent="0.3">
      <c r="A56" s="23"/>
      <c r="B56" s="39"/>
      <c r="C56" s="37"/>
      <c r="D56" s="38"/>
      <c r="E56" s="40"/>
      <c r="F56" s="40"/>
      <c r="G56" s="23"/>
    </row>
  </sheetData>
  <mergeCells count="1">
    <mergeCell ref="B12:C12"/>
  </mergeCells>
  <pageMargins left="0.7" right="0.7" top="0.75" bottom="0.75" header="0.3" footer="0.3"/>
  <pageSetup scale="6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53"/>
  <sheetViews>
    <sheetView showGridLines="0" zoomScale="125" zoomScaleNormal="125" zoomScalePageLayoutView="125" workbookViewId="0">
      <selection activeCell="B7" sqref="B7"/>
    </sheetView>
  </sheetViews>
  <sheetFormatPr defaultColWidth="8.85546875" defaultRowHeight="15" x14ac:dyDescent="0.25"/>
  <cols>
    <col min="1" max="1" width="37.5703125" customWidth="1"/>
    <col min="2" max="2" width="25.140625" customWidth="1"/>
    <col min="6" max="6" width="30.140625" bestFit="1" customWidth="1"/>
  </cols>
  <sheetData>
    <row r="1" spans="1:2" ht="18.75" x14ac:dyDescent="0.3">
      <c r="A1" s="20" t="str">
        <f>'MONTHLY PAYROLL'!A1</f>
        <v>Queen and Queen Ltd</v>
      </c>
      <c r="B1" s="9">
        <v>2</v>
      </c>
    </row>
    <row r="2" spans="1:2" x14ac:dyDescent="0.25">
      <c r="A2" s="1" t="s">
        <v>63</v>
      </c>
    </row>
    <row r="3" spans="1:2" ht="15.75" thickBot="1" x14ac:dyDescent="0.3">
      <c r="A3" s="1"/>
    </row>
    <row r="4" spans="1:2" x14ac:dyDescent="0.25">
      <c r="A4" s="2"/>
      <c r="B4" s="2"/>
    </row>
    <row r="5" spans="1:2" x14ac:dyDescent="0.25">
      <c r="A5" t="s">
        <v>64</v>
      </c>
      <c r="B5" s="4" t="str">
        <f>VLOOKUP($B$1,sec,2,FALSE)</f>
        <v>Kafaya Aniefiok</v>
      </c>
    </row>
    <row r="6" spans="1:2" ht="15.75" customHeight="1" x14ac:dyDescent="0.25">
      <c r="A6" t="s">
        <v>45</v>
      </c>
      <c r="B6" s="4" t="str">
        <f>VLOOKUP($B$1,sec,4,FALSE)</f>
        <v>ENGINEERING</v>
      </c>
    </row>
    <row r="7" spans="1:2" ht="15.75" customHeight="1" x14ac:dyDescent="0.25">
      <c r="A7" t="s">
        <v>44</v>
      </c>
      <c r="B7" s="4" t="str">
        <f>VLOOKUP($B$1,sec,3,FALSE)</f>
        <v>SB1</v>
      </c>
    </row>
    <row r="8" spans="1:2" ht="15.75" customHeight="1" x14ac:dyDescent="0.25">
      <c r="A8" t="s">
        <v>68</v>
      </c>
      <c r="B8" s="4" t="str">
        <f>'MONTHLY PAYROLL'!B3</f>
        <v>25th November 2020</v>
      </c>
    </row>
    <row r="9" spans="1:2" ht="15.75" customHeight="1" thickBot="1" x14ac:dyDescent="0.3">
      <c r="B9" s="10"/>
    </row>
    <row r="10" spans="1:2" ht="15.75" customHeight="1" x14ac:dyDescent="0.25">
      <c r="A10" s="2"/>
      <c r="B10" s="11"/>
    </row>
    <row r="11" spans="1:2" s="1" customFormat="1" x14ac:dyDescent="0.25">
      <c r="B11" s="21" t="s">
        <v>38</v>
      </c>
    </row>
    <row r="12" spans="1:2" s="1" customFormat="1" ht="15.75" customHeight="1" x14ac:dyDescent="0.25">
      <c r="B12" s="22" t="s">
        <v>40</v>
      </c>
    </row>
    <row r="13" spans="1:2" ht="15.75" thickBot="1" x14ac:dyDescent="0.3">
      <c r="A13" s="1" t="s">
        <v>69</v>
      </c>
      <c r="B13" s="12"/>
    </row>
    <row r="14" spans="1:2" ht="15.75" thickTop="1" x14ac:dyDescent="0.25">
      <c r="B14" s="10"/>
    </row>
    <row r="15" spans="1:2" x14ac:dyDescent="0.25">
      <c r="A15" t="s">
        <v>14</v>
      </c>
      <c r="B15" s="4">
        <f>VLOOKUP($B$1,sec,9,FALSE)</f>
        <v>16688.250124999995</v>
      </c>
    </row>
    <row r="16" spans="1:2" x14ac:dyDescent="0.25">
      <c r="A16" t="s">
        <v>15</v>
      </c>
      <c r="B16" s="4">
        <f>VLOOKUP($B$1,sec,10,FALSE)</f>
        <v>16688.250124999995</v>
      </c>
    </row>
    <row r="17" spans="1:6" x14ac:dyDescent="0.25">
      <c r="A17" t="s">
        <v>16</v>
      </c>
      <c r="B17" s="4">
        <f>VLOOKUP($B$1,sec,11,FALSE)</f>
        <v>16688.250124999995</v>
      </c>
    </row>
    <row r="18" spans="1:6" x14ac:dyDescent="0.25">
      <c r="A18" t="s">
        <v>17</v>
      </c>
      <c r="B18" s="4">
        <f>VLOOKUP($B$1,sec,12,FALSE)</f>
        <v>11125.500083333332</v>
      </c>
    </row>
    <row r="19" spans="1:6" x14ac:dyDescent="0.25">
      <c r="A19" t="s">
        <v>18</v>
      </c>
      <c r="B19" s="4">
        <f>VLOOKUP($B$1,sec,13,FALSE)</f>
        <v>11125.500083333332</v>
      </c>
    </row>
    <row r="20" spans="1:6" x14ac:dyDescent="0.25">
      <c r="A20" t="s">
        <v>19</v>
      </c>
      <c r="B20" s="4">
        <f>VLOOKUP($B$1,sec,14,FALSE)</f>
        <v>11125.500083333332</v>
      </c>
    </row>
    <row r="21" spans="1:6" x14ac:dyDescent="0.25">
      <c r="A21" t="s">
        <v>20</v>
      </c>
      <c r="B21" s="4">
        <f>VLOOKUP($B$1,sec,15,FALSE)</f>
        <v>11125.500083333332</v>
      </c>
    </row>
    <row r="22" spans="1:6" x14ac:dyDescent="0.25">
      <c r="A22" t="s">
        <v>21</v>
      </c>
      <c r="B22" s="4">
        <f>VLOOKUP($B$1,sec,16,FALSE)</f>
        <v>5562.7500416666662</v>
      </c>
    </row>
    <row r="23" spans="1:6" x14ac:dyDescent="0.25">
      <c r="A23" t="s">
        <v>22</v>
      </c>
      <c r="B23" s="4">
        <f>VLOOKUP($B$1,sec,17,FALSE)</f>
        <v>5562.7500416666662</v>
      </c>
    </row>
    <row r="24" spans="1:6" x14ac:dyDescent="0.25">
      <c r="A24" t="s">
        <v>23</v>
      </c>
      <c r="B24" s="4">
        <f>VLOOKUP($B$1,sec,18,FALSE)</f>
        <v>5562.7500416666662</v>
      </c>
    </row>
    <row r="25" spans="1:6" x14ac:dyDescent="0.25">
      <c r="A25" s="6"/>
      <c r="B25" s="4"/>
    </row>
    <row r="26" spans="1:6" ht="15.75" thickBot="1" x14ac:dyDescent="0.3">
      <c r="A26" s="6"/>
      <c r="B26" s="4"/>
    </row>
    <row r="27" spans="1:6" x14ac:dyDescent="0.25">
      <c r="B27" s="13"/>
    </row>
    <row r="28" spans="1:6" s="1" customFormat="1" ht="15.75" thickBot="1" x14ac:dyDescent="0.3">
      <c r="A28" s="1" t="s">
        <v>24</v>
      </c>
      <c r="B28" s="14">
        <f>SUM(B15:B26)</f>
        <v>111255.00083333332</v>
      </c>
    </row>
    <row r="29" spans="1:6" ht="15.75" thickTop="1" x14ac:dyDescent="0.25">
      <c r="B29" s="10"/>
    </row>
    <row r="30" spans="1:6" x14ac:dyDescent="0.25">
      <c r="A30" t="s">
        <v>25</v>
      </c>
      <c r="B30" s="4">
        <f>VLOOKUP($B$1,sec,22,FALSE)</f>
        <v>0</v>
      </c>
      <c r="F30" s="7"/>
    </row>
    <row r="31" spans="1:6" x14ac:dyDescent="0.25">
      <c r="A31" s="6" t="s">
        <v>57</v>
      </c>
      <c r="B31" s="4">
        <f>VLOOKUP($B$1,sec,23,FALSE)</f>
        <v>0</v>
      </c>
    </row>
    <row r="32" spans="1:6" x14ac:dyDescent="0.25">
      <c r="A32" s="6" t="s">
        <v>58</v>
      </c>
      <c r="B32" s="4">
        <f>VLOOKUP($B$1,sec,24,FALSE)</f>
        <v>0</v>
      </c>
    </row>
    <row r="33" spans="1:6" x14ac:dyDescent="0.25">
      <c r="A33" t="s">
        <v>59</v>
      </c>
      <c r="B33" s="4">
        <f>VLOOKUP($B$1,sec,25,FALSE)</f>
        <v>0</v>
      </c>
      <c r="F33" s="7"/>
    </row>
    <row r="34" spans="1:6" x14ac:dyDescent="0.25">
      <c r="A34" t="s">
        <v>121</v>
      </c>
      <c r="B34" s="4">
        <f>VLOOKUP($B$1,sec,26,FALSE)</f>
        <v>0</v>
      </c>
      <c r="F34" s="7"/>
    </row>
    <row r="35" spans="1:6" x14ac:dyDescent="0.25">
      <c r="A35" t="s">
        <v>119</v>
      </c>
      <c r="B35" s="4">
        <f>VLOOKUP($B$1,sec,27,FALSE)</f>
        <v>7249.8230954999972</v>
      </c>
      <c r="F35" s="7"/>
    </row>
    <row r="36" spans="1:6" x14ac:dyDescent="0.25">
      <c r="A36" t="s">
        <v>60</v>
      </c>
      <c r="B36" s="4">
        <f>VLOOKUP($B$1,sec,28,FALSE)</f>
        <v>0</v>
      </c>
      <c r="F36" s="7"/>
    </row>
    <row r="37" spans="1:6" x14ac:dyDescent="0.25">
      <c r="A37" t="s">
        <v>61</v>
      </c>
      <c r="B37" s="4">
        <f>VLOOKUP($B$1,sec,29,FALSE)</f>
        <v>0</v>
      </c>
      <c r="F37" s="7"/>
    </row>
    <row r="38" spans="1:6" x14ac:dyDescent="0.25">
      <c r="A38" t="s">
        <v>62</v>
      </c>
      <c r="B38" s="4">
        <f>VLOOKUP($B$1,sec,30,FALSE)</f>
        <v>0</v>
      </c>
      <c r="F38" s="7"/>
    </row>
    <row r="39" spans="1:6" s="1" customFormat="1" x14ac:dyDescent="0.25">
      <c r="A39" t="s">
        <v>30</v>
      </c>
      <c r="B39" s="4">
        <f>VLOOKUP($B$1,sec,31,FALSE)</f>
        <v>4005.1800299999991</v>
      </c>
      <c r="F39" s="7"/>
    </row>
    <row r="40" spans="1:6" ht="15.75" thickBot="1" x14ac:dyDescent="0.3">
      <c r="B40" s="10"/>
    </row>
    <row r="41" spans="1:6" ht="15.75" thickBot="1" x14ac:dyDescent="0.3">
      <c r="A41" s="1" t="s">
        <v>39</v>
      </c>
      <c r="B41" s="15">
        <f>SUM(B30:B40)</f>
        <v>11255.003125499996</v>
      </c>
    </row>
    <row r="42" spans="1:6" ht="15.75" thickTop="1" x14ac:dyDescent="0.25">
      <c r="B42" s="10"/>
    </row>
    <row r="43" spans="1:6" ht="15.75" thickBot="1" x14ac:dyDescent="0.3">
      <c r="A43" s="1" t="s">
        <v>0</v>
      </c>
      <c r="B43" s="16">
        <f>B28-B41</f>
        <v>99999.997707833332</v>
      </c>
    </row>
    <row r="44" spans="1:6" ht="16.5" thickTop="1" thickBot="1" x14ac:dyDescent="0.3">
      <c r="B44" s="10"/>
    </row>
    <row r="45" spans="1:6" x14ac:dyDescent="0.25">
      <c r="A45" s="2"/>
      <c r="B45" s="11"/>
    </row>
    <row r="46" spans="1:6" x14ac:dyDescent="0.25">
      <c r="A46" s="19" t="s">
        <v>67</v>
      </c>
      <c r="B46" s="17"/>
    </row>
    <row r="47" spans="1:6" x14ac:dyDescent="0.25">
      <c r="A47" s="3" t="s">
        <v>46</v>
      </c>
      <c r="B47" s="5" t="str">
        <f>VLOOKUP($B$1,sec,5,FALSE)</f>
        <v>Sample Bank Plc</v>
      </c>
    </row>
    <row r="48" spans="1:6" x14ac:dyDescent="0.25">
      <c r="A48" s="3" t="s">
        <v>65</v>
      </c>
      <c r="B48" s="42" t="str">
        <f>VLOOKUP($B$1,sec,6,FALSE)</f>
        <v>00045879089</v>
      </c>
    </row>
    <row r="49" spans="1:2" x14ac:dyDescent="0.25">
      <c r="B49" s="10"/>
    </row>
    <row r="50" spans="1:2" x14ac:dyDescent="0.25">
      <c r="A50" s="3" t="s">
        <v>66</v>
      </c>
      <c r="B50" s="5" t="str">
        <f>VLOOKUP($B$1,sec,7,FALSE)</f>
        <v>SAMPLE PFA</v>
      </c>
    </row>
    <row r="51" spans="1:2" x14ac:dyDescent="0.25">
      <c r="A51" s="3" t="s">
        <v>49</v>
      </c>
      <c r="B51" s="42" t="str">
        <f>VLOOKUP($B$1,sec,8,FALSE)</f>
        <v>PINSAMPLE002</v>
      </c>
    </row>
    <row r="52" spans="1:2" x14ac:dyDescent="0.25">
      <c r="B52" s="10"/>
    </row>
    <row r="53" spans="1:2" ht="15.75" thickBot="1" x14ac:dyDescent="0.3">
      <c r="A53" s="8"/>
      <c r="B53" s="18"/>
    </row>
  </sheetData>
  <printOptions horizontalCentered="1"/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7"/>
  <sheetViews>
    <sheetView workbookViewId="0">
      <selection activeCell="B18" sqref="B18"/>
    </sheetView>
  </sheetViews>
  <sheetFormatPr defaultColWidth="8.85546875" defaultRowHeight="15" x14ac:dyDescent="0.25"/>
  <sheetData>
    <row r="1" spans="1:2" x14ac:dyDescent="0.25">
      <c r="A1" t="s">
        <v>70</v>
      </c>
    </row>
    <row r="3" spans="1:2" x14ac:dyDescent="0.25">
      <c r="A3" t="s">
        <v>71</v>
      </c>
      <c r="B3" t="s">
        <v>72</v>
      </c>
    </row>
    <row r="4" spans="1:2" x14ac:dyDescent="0.25">
      <c r="A4" t="s">
        <v>73</v>
      </c>
      <c r="B4" t="s">
        <v>74</v>
      </c>
    </row>
    <row r="5" spans="1:2" x14ac:dyDescent="0.25">
      <c r="A5" t="s">
        <v>75</v>
      </c>
      <c r="B5" t="s">
        <v>76</v>
      </c>
    </row>
    <row r="6" spans="1:2" x14ac:dyDescent="0.25">
      <c r="A6" t="s">
        <v>77</v>
      </c>
      <c r="B6" t="s">
        <v>78</v>
      </c>
    </row>
    <row r="9" spans="1:2" x14ac:dyDescent="0.25">
      <c r="A9" t="s">
        <v>79</v>
      </c>
    </row>
    <row r="10" spans="1:2" x14ac:dyDescent="0.25">
      <c r="A10" t="s">
        <v>71</v>
      </c>
      <c r="B10" t="s">
        <v>80</v>
      </c>
    </row>
    <row r="11" spans="1:2" x14ac:dyDescent="0.25">
      <c r="A11" t="s">
        <v>81</v>
      </c>
      <c r="B11" t="s">
        <v>82</v>
      </c>
    </row>
    <row r="14" spans="1:2" x14ac:dyDescent="0.25">
      <c r="A14" t="s">
        <v>93</v>
      </c>
    </row>
    <row r="15" spans="1:2" x14ac:dyDescent="0.25">
      <c r="A15" t="s">
        <v>94</v>
      </c>
      <c r="B15" t="s">
        <v>95</v>
      </c>
    </row>
    <row r="16" spans="1:2" x14ac:dyDescent="0.25">
      <c r="A16" t="s">
        <v>96</v>
      </c>
      <c r="B16" t="s">
        <v>97</v>
      </c>
    </row>
    <row r="17" spans="1:2" x14ac:dyDescent="0.25">
      <c r="A17" t="s">
        <v>98</v>
      </c>
      <c r="B17" t="s">
        <v>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0"/>
  <sheetViews>
    <sheetView view="pageBreakPreview" zoomScale="60" workbookViewId="0">
      <selection activeCell="A16" sqref="A16:XFD18"/>
    </sheetView>
  </sheetViews>
  <sheetFormatPr defaultColWidth="8.85546875" defaultRowHeight="18.75" x14ac:dyDescent="0.3"/>
  <cols>
    <col min="1" max="1" width="7.42578125" style="107" customWidth="1"/>
    <col min="2" max="2" width="20.140625" style="107" customWidth="1"/>
    <col min="3" max="3" width="28.85546875" style="107" customWidth="1"/>
    <col min="4" max="4" width="27.28515625" style="107" customWidth="1"/>
    <col min="5" max="5" width="45.42578125" style="107" bestFit="1" customWidth="1"/>
    <col min="6" max="8" width="16.42578125" style="107" bestFit="1" customWidth="1"/>
    <col min="9" max="16384" width="8.85546875" style="107"/>
  </cols>
  <sheetData>
    <row r="1" spans="1:8" x14ac:dyDescent="0.3">
      <c r="A1" s="107" t="str">
        <f>'MONTHLY PAYROLL'!A1</f>
        <v>Queen and Queen Ltd</v>
      </c>
    </row>
    <row r="2" spans="1:8" x14ac:dyDescent="0.3">
      <c r="A2" s="107" t="str">
        <f>'MONTHLY PAYROLL'!B3</f>
        <v>25th November 2020</v>
      </c>
      <c r="E2" s="107" t="s">
        <v>124</v>
      </c>
    </row>
    <row r="3" spans="1:8" x14ac:dyDescent="0.3">
      <c r="A3" s="141" t="s">
        <v>100</v>
      </c>
      <c r="B3" s="141" t="s">
        <v>45</v>
      </c>
      <c r="C3" s="141" t="s">
        <v>48</v>
      </c>
      <c r="D3" s="141" t="s">
        <v>101</v>
      </c>
      <c r="E3" s="141" t="s">
        <v>102</v>
      </c>
      <c r="F3" s="142" t="s">
        <v>104</v>
      </c>
      <c r="G3" s="142" t="s">
        <v>103</v>
      </c>
      <c r="H3" s="142" t="s">
        <v>84</v>
      </c>
    </row>
    <row r="4" spans="1:8" x14ac:dyDescent="0.3">
      <c r="A4" s="132">
        <v>1</v>
      </c>
      <c r="B4" s="132" t="str">
        <f t="shared" ref="B4:B9" si="0">VLOOKUP(A4,sec,4,FALSE)</f>
        <v>ENGINEERING</v>
      </c>
      <c r="C4" s="132" t="str">
        <f t="shared" ref="C4:C9" si="1">VLOOKUP(A4,sec,7,FALSE)</f>
        <v>SAMPLE PFA</v>
      </c>
      <c r="D4" s="134" t="str">
        <f t="shared" ref="D4:D9" si="2">VLOOKUP(A4,sec,8,FALSE)</f>
        <v>PINSAMPLE001</v>
      </c>
      <c r="E4" s="134" t="str">
        <f t="shared" ref="E4:E9" si="3">VLOOKUP(A4,sec,2,FALSE)</f>
        <v>Thelma Nojeem</v>
      </c>
      <c r="F4" s="134">
        <f t="shared" ref="F4:F9" si="4">VLOOKUP(A4,sec,31,FALSE)</f>
        <v>4005.1800299999991</v>
      </c>
      <c r="G4" s="143">
        <f>(F4/0.08)*0.1</f>
        <v>5006.4750374999994</v>
      </c>
      <c r="H4" s="143">
        <f t="shared" ref="H4" si="5">G4+F4</f>
        <v>9011.655067499998</v>
      </c>
    </row>
    <row r="5" spans="1:8" x14ac:dyDescent="0.3">
      <c r="A5" s="132">
        <f>A4+1</f>
        <v>2</v>
      </c>
      <c r="B5" s="132" t="str">
        <f t="shared" si="0"/>
        <v>ENGINEERING</v>
      </c>
      <c r="C5" s="132" t="str">
        <f t="shared" si="1"/>
        <v>SAMPLE PFA</v>
      </c>
      <c r="D5" s="134" t="str">
        <f t="shared" si="2"/>
        <v>PINSAMPLE002</v>
      </c>
      <c r="E5" s="134" t="str">
        <f t="shared" si="3"/>
        <v>Kafaya Aniefiok</v>
      </c>
      <c r="F5" s="134">
        <f t="shared" si="4"/>
        <v>4005.1800299999991</v>
      </c>
      <c r="G5" s="143">
        <f t="shared" ref="G5:G9" si="6">(F5/0.08)*0.1</f>
        <v>5006.4750374999994</v>
      </c>
      <c r="H5" s="143">
        <f t="shared" ref="H5:H9" si="7">G5+F5</f>
        <v>9011.655067499998</v>
      </c>
    </row>
    <row r="6" spans="1:8" x14ac:dyDescent="0.3">
      <c r="A6" s="132">
        <f t="shared" ref="A6:A15" si="8">A5+1</f>
        <v>3</v>
      </c>
      <c r="B6" s="132" t="str">
        <f t="shared" si="0"/>
        <v>ENGINEERING</v>
      </c>
      <c r="C6" s="132" t="str">
        <f t="shared" si="1"/>
        <v>SAMPLE PFA</v>
      </c>
      <c r="D6" s="134" t="str">
        <f t="shared" si="2"/>
        <v>PINSAMPLE003</v>
      </c>
      <c r="E6" s="134" t="str">
        <f t="shared" si="3"/>
        <v>Akpan Salawu</v>
      </c>
      <c r="F6" s="134">
        <f t="shared" si="4"/>
        <v>16800</v>
      </c>
      <c r="G6" s="143">
        <f t="shared" si="6"/>
        <v>21000</v>
      </c>
      <c r="H6" s="143">
        <f t="shared" si="7"/>
        <v>37800</v>
      </c>
    </row>
    <row r="7" spans="1:8" x14ac:dyDescent="0.3">
      <c r="A7" s="132">
        <f t="shared" si="8"/>
        <v>4</v>
      </c>
      <c r="B7" s="132" t="str">
        <f t="shared" si="0"/>
        <v>FINANCE</v>
      </c>
      <c r="C7" s="132" t="str">
        <f t="shared" si="1"/>
        <v>SAMPLE PFA</v>
      </c>
      <c r="D7" s="134" t="str">
        <f t="shared" si="2"/>
        <v>PINSAMPLE004</v>
      </c>
      <c r="E7" s="134" t="str">
        <f t="shared" si="3"/>
        <v>Queen Amachree</v>
      </c>
      <c r="F7" s="134">
        <f t="shared" si="4"/>
        <v>2502.4546569000004</v>
      </c>
      <c r="G7" s="143">
        <f t="shared" si="6"/>
        <v>3128.0683211250007</v>
      </c>
      <c r="H7" s="143">
        <f t="shared" si="7"/>
        <v>5630.5229780250011</v>
      </c>
    </row>
    <row r="8" spans="1:8" x14ac:dyDescent="0.3">
      <c r="A8" s="132">
        <f t="shared" si="8"/>
        <v>5</v>
      </c>
      <c r="B8" s="132" t="str">
        <f t="shared" si="0"/>
        <v>FINANCE</v>
      </c>
      <c r="C8" s="132" t="str">
        <f t="shared" si="1"/>
        <v>SAMPLE PFA</v>
      </c>
      <c r="D8" s="134" t="str">
        <f t="shared" si="2"/>
        <v>PINSAMPLE005</v>
      </c>
      <c r="E8" s="134" t="str">
        <f t="shared" si="3"/>
        <v>Chukwuemema Buhari</v>
      </c>
      <c r="F8" s="134">
        <f t="shared" si="4"/>
        <v>6162.3759899999995</v>
      </c>
      <c r="G8" s="143">
        <f t="shared" si="6"/>
        <v>7702.9699874999997</v>
      </c>
      <c r="H8" s="143">
        <f t="shared" si="7"/>
        <v>13865.345977499999</v>
      </c>
    </row>
    <row r="9" spans="1:8" x14ac:dyDescent="0.3">
      <c r="A9" s="132">
        <f t="shared" si="8"/>
        <v>6</v>
      </c>
      <c r="B9" s="132" t="str">
        <f t="shared" si="0"/>
        <v>FINANCE</v>
      </c>
      <c r="C9" s="132" t="str">
        <f t="shared" si="1"/>
        <v>SAMPLE PFA</v>
      </c>
      <c r="D9" s="134" t="str">
        <f t="shared" si="2"/>
        <v>PINSAMPLE006</v>
      </c>
      <c r="E9" s="134" t="str">
        <f t="shared" si="3"/>
        <v>Prisca John</v>
      </c>
      <c r="F9" s="134">
        <f t="shared" si="4"/>
        <v>9600</v>
      </c>
      <c r="G9" s="143">
        <f t="shared" si="6"/>
        <v>12000</v>
      </c>
      <c r="H9" s="143">
        <f t="shared" si="7"/>
        <v>21600</v>
      </c>
    </row>
    <row r="10" spans="1:8" x14ac:dyDescent="0.3">
      <c r="A10" s="132">
        <f t="shared" si="8"/>
        <v>7</v>
      </c>
      <c r="B10" s="132" t="str">
        <f t="shared" ref="B10:B15" si="9">VLOOKUP(A10,sec,4,FALSE)</f>
        <v>MARKETING</v>
      </c>
      <c r="C10" s="132" t="str">
        <f t="shared" ref="C10:C15" si="10">VLOOKUP(A10,sec,7,FALSE)</f>
        <v>SAMPLE PFA</v>
      </c>
      <c r="D10" s="134" t="str">
        <f t="shared" ref="D10:D15" si="11">VLOOKUP(A10,sec,8,FALSE)</f>
        <v>PINSAMPLE007</v>
      </c>
      <c r="E10" s="134" t="str">
        <f t="shared" ref="E10:E15" si="12">VLOOKUP(A10,sec,2,FALSE)</f>
        <v>Bobo Samba</v>
      </c>
      <c r="F10" s="134">
        <f t="shared" ref="F10:F15" si="13">VLOOKUP(A10,sec,31,FALSE)</f>
        <v>6162.3759899999995</v>
      </c>
      <c r="G10" s="143">
        <f t="shared" ref="G10:G15" si="14">(F10/0.08)*0.1</f>
        <v>7702.9699874999997</v>
      </c>
      <c r="H10" s="143">
        <f t="shared" ref="H10:H15" si="15">G10+F10</f>
        <v>13865.345977499999</v>
      </c>
    </row>
    <row r="11" spans="1:8" x14ac:dyDescent="0.3">
      <c r="A11" s="132">
        <f t="shared" si="8"/>
        <v>8</v>
      </c>
      <c r="B11" s="132" t="str">
        <f t="shared" si="9"/>
        <v>MARKETING</v>
      </c>
      <c r="C11" s="132" t="str">
        <f t="shared" si="10"/>
        <v>SAMPLE PFA</v>
      </c>
      <c r="D11" s="134" t="str">
        <f t="shared" si="11"/>
        <v>PINSAMPLE008</v>
      </c>
      <c r="E11" s="134" t="str">
        <f t="shared" si="12"/>
        <v>Jimoh Chinedu</v>
      </c>
      <c r="F11" s="134">
        <f t="shared" si="13"/>
        <v>6162.3759899999995</v>
      </c>
      <c r="G11" s="143">
        <f t="shared" si="14"/>
        <v>7702.9699874999997</v>
      </c>
      <c r="H11" s="143">
        <f t="shared" si="15"/>
        <v>13865.345977499999</v>
      </c>
    </row>
    <row r="12" spans="1:8" x14ac:dyDescent="0.3">
      <c r="A12" s="132">
        <f t="shared" si="8"/>
        <v>9</v>
      </c>
      <c r="B12" s="132" t="str">
        <f t="shared" si="9"/>
        <v>MARKETING</v>
      </c>
      <c r="C12" s="132" t="str">
        <f t="shared" si="10"/>
        <v>SAMPLE PFA</v>
      </c>
      <c r="D12" s="134" t="str">
        <f t="shared" si="11"/>
        <v>PINSAMPLE009</v>
      </c>
      <c r="E12" s="134" t="str">
        <f t="shared" si="12"/>
        <v>Simon Ibrahim</v>
      </c>
      <c r="F12" s="134">
        <f t="shared" si="13"/>
        <v>6162.3759899999995</v>
      </c>
      <c r="G12" s="143">
        <f t="shared" si="14"/>
        <v>7702.9699874999997</v>
      </c>
      <c r="H12" s="143">
        <f t="shared" si="15"/>
        <v>13865.345977499999</v>
      </c>
    </row>
    <row r="13" spans="1:8" x14ac:dyDescent="0.3">
      <c r="A13" s="132">
        <f t="shared" si="8"/>
        <v>10</v>
      </c>
      <c r="B13" s="132" t="str">
        <f t="shared" si="9"/>
        <v>OPERATIONS</v>
      </c>
      <c r="C13" s="132" t="str">
        <f t="shared" si="10"/>
        <v>SAMPLE PFA</v>
      </c>
      <c r="D13" s="134" t="str">
        <f t="shared" si="11"/>
        <v>PINSAMPLE010</v>
      </c>
      <c r="E13" s="134" t="str">
        <f t="shared" si="12"/>
        <v>Amaka Raji</v>
      </c>
      <c r="F13" s="134">
        <f t="shared" si="13"/>
        <v>9600</v>
      </c>
      <c r="G13" s="143">
        <f t="shared" si="14"/>
        <v>12000</v>
      </c>
      <c r="H13" s="143">
        <f t="shared" si="15"/>
        <v>21600</v>
      </c>
    </row>
    <row r="14" spans="1:8" x14ac:dyDescent="0.3">
      <c r="A14" s="132">
        <f t="shared" si="8"/>
        <v>11</v>
      </c>
      <c r="B14" s="132" t="str">
        <f t="shared" si="9"/>
        <v>OPERATIONS</v>
      </c>
      <c r="C14" s="132" t="str">
        <f t="shared" si="10"/>
        <v>SAMPLE PFA</v>
      </c>
      <c r="D14" s="134" t="str">
        <f t="shared" si="11"/>
        <v>PINSAMPLE011</v>
      </c>
      <c r="E14" s="134" t="str">
        <f t="shared" si="12"/>
        <v>Charles Abubakar</v>
      </c>
      <c r="F14" s="134">
        <f t="shared" si="13"/>
        <v>9600</v>
      </c>
      <c r="G14" s="143">
        <f t="shared" si="14"/>
        <v>12000</v>
      </c>
      <c r="H14" s="143">
        <f t="shared" si="15"/>
        <v>21600</v>
      </c>
    </row>
    <row r="15" spans="1:8" x14ac:dyDescent="0.3">
      <c r="A15" s="132">
        <f t="shared" si="8"/>
        <v>12</v>
      </c>
      <c r="B15" s="132" t="str">
        <f t="shared" si="9"/>
        <v>OPERATIONS</v>
      </c>
      <c r="C15" s="132" t="str">
        <f t="shared" si="10"/>
        <v>SAMPLE PFA</v>
      </c>
      <c r="D15" s="134" t="str">
        <f t="shared" si="11"/>
        <v>PINSAMPLE012</v>
      </c>
      <c r="E15" s="134" t="str">
        <f t="shared" si="12"/>
        <v>Boma Daudu</v>
      </c>
      <c r="F15" s="134">
        <f t="shared" si="13"/>
        <v>9600</v>
      </c>
      <c r="G15" s="143">
        <f t="shared" si="14"/>
        <v>12000</v>
      </c>
      <c r="H15" s="143">
        <f t="shared" si="15"/>
        <v>21600</v>
      </c>
    </row>
    <row r="16" spans="1:8" x14ac:dyDescent="0.3">
      <c r="A16" s="132"/>
      <c r="B16" s="132"/>
      <c r="C16" s="132"/>
      <c r="D16" s="134"/>
      <c r="E16" s="134"/>
      <c r="F16" s="134"/>
      <c r="G16" s="143"/>
      <c r="H16" s="143"/>
    </row>
    <row r="17" spans="1:8" x14ac:dyDescent="0.3">
      <c r="A17" s="132"/>
      <c r="B17" s="132"/>
      <c r="C17" s="132"/>
      <c r="D17" s="134"/>
      <c r="E17" s="134"/>
      <c r="F17" s="134"/>
      <c r="G17" s="143"/>
      <c r="H17" s="143"/>
    </row>
    <row r="18" spans="1:8" x14ac:dyDescent="0.3">
      <c r="A18" s="132"/>
      <c r="B18" s="132"/>
      <c r="C18" s="132"/>
      <c r="D18" s="134"/>
      <c r="E18" s="134"/>
      <c r="F18" s="134"/>
      <c r="G18" s="143"/>
      <c r="H18" s="143"/>
    </row>
    <row r="19" spans="1:8" x14ac:dyDescent="0.3">
      <c r="A19" s="132"/>
      <c r="B19" s="132"/>
      <c r="C19" s="132"/>
      <c r="D19" s="134"/>
      <c r="E19" s="134"/>
      <c r="F19" s="134"/>
      <c r="G19" s="143"/>
      <c r="H19" s="143"/>
    </row>
    <row r="20" spans="1:8" x14ac:dyDescent="0.3">
      <c r="A20" s="132"/>
      <c r="B20" s="132"/>
      <c r="C20" s="132"/>
      <c r="D20" s="134"/>
      <c r="E20" s="134"/>
      <c r="F20" s="134"/>
      <c r="G20" s="143"/>
      <c r="H20" s="143"/>
    </row>
    <row r="21" spans="1:8" x14ac:dyDescent="0.3">
      <c r="A21" s="132"/>
      <c r="B21" s="132"/>
      <c r="C21" s="132"/>
      <c r="D21" s="134"/>
      <c r="E21" s="134"/>
      <c r="F21" s="134"/>
      <c r="G21" s="143"/>
      <c r="H21" s="143"/>
    </row>
    <row r="22" spans="1:8" x14ac:dyDescent="0.3">
      <c r="A22" s="132"/>
      <c r="B22" s="132"/>
      <c r="C22" s="132"/>
      <c r="D22" s="134"/>
      <c r="E22" s="134"/>
      <c r="F22" s="134"/>
      <c r="G22" s="143"/>
      <c r="H22" s="143"/>
    </row>
    <row r="23" spans="1:8" x14ac:dyDescent="0.3">
      <c r="A23" s="132"/>
      <c r="B23" s="132"/>
      <c r="C23" s="132"/>
      <c r="D23" s="134"/>
      <c r="E23" s="134"/>
      <c r="F23" s="134"/>
      <c r="G23" s="143"/>
      <c r="H23" s="143"/>
    </row>
    <row r="24" spans="1:8" x14ac:dyDescent="0.3">
      <c r="A24" s="132"/>
      <c r="B24" s="132"/>
      <c r="C24" s="132"/>
      <c r="D24" s="134"/>
      <c r="E24" s="134"/>
      <c r="F24" s="134"/>
      <c r="G24" s="143"/>
      <c r="H24" s="143"/>
    </row>
    <row r="25" spans="1:8" x14ac:dyDescent="0.3">
      <c r="A25" s="132"/>
      <c r="B25" s="132"/>
      <c r="C25" s="132"/>
      <c r="D25" s="134"/>
      <c r="E25" s="134"/>
      <c r="F25" s="134"/>
      <c r="G25" s="143"/>
      <c r="H25" s="143"/>
    </row>
    <row r="26" spans="1:8" x14ac:dyDescent="0.3">
      <c r="A26" s="132"/>
      <c r="B26" s="132"/>
      <c r="C26" s="132"/>
      <c r="D26" s="134"/>
      <c r="E26" s="134"/>
      <c r="F26" s="134"/>
      <c r="G26" s="143"/>
      <c r="H26" s="143"/>
    </row>
    <row r="27" spans="1:8" x14ac:dyDescent="0.3">
      <c r="A27" s="132"/>
      <c r="B27" s="132"/>
      <c r="C27" s="132"/>
      <c r="D27" s="134"/>
      <c r="E27" s="134"/>
      <c r="F27" s="134"/>
      <c r="G27" s="143"/>
      <c r="H27" s="143"/>
    </row>
    <row r="28" spans="1:8" x14ac:dyDescent="0.3">
      <c r="A28" s="132"/>
      <c r="B28" s="132"/>
      <c r="C28" s="132"/>
      <c r="D28" s="134"/>
      <c r="E28" s="134"/>
      <c r="F28" s="134"/>
      <c r="G28" s="143"/>
      <c r="H28" s="143"/>
    </row>
    <row r="29" spans="1:8" ht="19.5" thickBot="1" x14ac:dyDescent="0.35">
      <c r="A29" s="144"/>
      <c r="B29" s="144"/>
      <c r="C29" s="144"/>
      <c r="D29" s="145"/>
      <c r="E29" s="141" t="s">
        <v>84</v>
      </c>
      <c r="F29" s="146">
        <f>SUM(F4:F28)</f>
        <v>90362.318676900002</v>
      </c>
      <c r="G29" s="146">
        <f>SUM(G4:G28)</f>
        <v>112952.89834612499</v>
      </c>
      <c r="H29" s="146">
        <f>G29+F29</f>
        <v>203315.21702302498</v>
      </c>
    </row>
    <row r="30" spans="1:8" ht="19.5" thickTop="1" x14ac:dyDescent="0.3"/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2"/>
  <sheetViews>
    <sheetView view="pageBreakPreview" zoomScale="60" workbookViewId="0">
      <selection activeCell="B5" sqref="B5:B17"/>
    </sheetView>
  </sheetViews>
  <sheetFormatPr defaultColWidth="8.85546875" defaultRowHeight="18.75" x14ac:dyDescent="0.3"/>
  <cols>
    <col min="1" max="1" width="8.85546875" style="126"/>
    <col min="2" max="2" width="36.85546875" style="126" bestFit="1" customWidth="1"/>
    <col min="3" max="3" width="38.28515625" style="126" bestFit="1" customWidth="1"/>
    <col min="4" max="4" width="14.42578125" style="126" customWidth="1"/>
    <col min="5" max="5" width="0" style="126" hidden="1" customWidth="1"/>
    <col min="6" max="16384" width="8.85546875" style="126"/>
  </cols>
  <sheetData>
    <row r="1" spans="1:5" x14ac:dyDescent="0.3">
      <c r="A1" s="125" t="str">
        <f>'MONTHLY PAYROLL'!A1</f>
        <v>Queen and Queen Ltd</v>
      </c>
    </row>
    <row r="2" spans="1:5" x14ac:dyDescent="0.3">
      <c r="A2" s="125" t="s">
        <v>105</v>
      </c>
    </row>
    <row r="3" spans="1:5" x14ac:dyDescent="0.3">
      <c r="A3" s="125" t="str">
        <f>'MONTHLY PAYROLL'!B3</f>
        <v>25th November 2020</v>
      </c>
    </row>
    <row r="5" spans="1:5" s="128" customFormat="1" x14ac:dyDescent="0.3">
      <c r="A5" s="127" t="s">
        <v>56</v>
      </c>
      <c r="B5" s="127" t="s">
        <v>45</v>
      </c>
      <c r="C5" s="127" t="s">
        <v>102</v>
      </c>
      <c r="D5" s="127" t="s">
        <v>106</v>
      </c>
      <c r="E5" s="127" t="s">
        <v>107</v>
      </c>
    </row>
    <row r="6" spans="1:5" x14ac:dyDescent="0.3">
      <c r="A6" s="129">
        <v>1</v>
      </c>
      <c r="B6" s="129" t="str">
        <f t="shared" ref="B6:B11" si="0">VLOOKUP(A6,sec,4,FALSE)</f>
        <v>ENGINEERING</v>
      </c>
      <c r="C6" s="130" t="str">
        <f t="shared" ref="C6:C11" si="1">VLOOKUP(A6,sec,2,FALSE)</f>
        <v>Thelma Nojeem</v>
      </c>
      <c r="D6" s="131">
        <f t="shared" ref="D6:D11" si="2">VLOOKUP(A6,sec,27,FALSE)</f>
        <v>7249.8230954999972</v>
      </c>
      <c r="E6" s="131" t="e">
        <f t="shared" ref="E6:E11" si="3">VLOOKUP(B6,sec,27,FALSE)</f>
        <v>#N/A</v>
      </c>
    </row>
    <row r="7" spans="1:5" x14ac:dyDescent="0.3">
      <c r="A7" s="132">
        <f>A6+1</f>
        <v>2</v>
      </c>
      <c r="B7" s="132" t="str">
        <f t="shared" si="0"/>
        <v>ENGINEERING</v>
      </c>
      <c r="C7" s="133" t="str">
        <f t="shared" si="1"/>
        <v>Kafaya Aniefiok</v>
      </c>
      <c r="D7" s="134">
        <f t="shared" si="2"/>
        <v>7249.8230954999972</v>
      </c>
      <c r="E7" s="134" t="e">
        <f t="shared" si="3"/>
        <v>#N/A</v>
      </c>
    </row>
    <row r="8" spans="1:5" x14ac:dyDescent="0.3">
      <c r="A8" s="132">
        <f t="shared" ref="A8:A17" si="4">A7+1</f>
        <v>3</v>
      </c>
      <c r="B8" s="132" t="str">
        <f t="shared" si="0"/>
        <v>ENGINEERING</v>
      </c>
      <c r="C8" s="133" t="str">
        <f t="shared" si="1"/>
        <v>Akpan Salawu</v>
      </c>
      <c r="D8" s="134">
        <f t="shared" si="2"/>
        <v>64234.666666666664</v>
      </c>
      <c r="E8" s="134" t="e">
        <f t="shared" si="3"/>
        <v>#N/A</v>
      </c>
    </row>
    <row r="9" spans="1:5" x14ac:dyDescent="0.3">
      <c r="A9" s="132">
        <f t="shared" si="4"/>
        <v>4</v>
      </c>
      <c r="B9" s="132" t="str">
        <f t="shared" si="0"/>
        <v>FINANCE</v>
      </c>
      <c r="C9" s="133" t="str">
        <f t="shared" si="1"/>
        <v>Queen Amachree</v>
      </c>
      <c r="D9" s="134">
        <f t="shared" si="2"/>
        <v>3008.5080379410006</v>
      </c>
      <c r="E9" s="134" t="e">
        <f t="shared" si="3"/>
        <v>#N/A</v>
      </c>
    </row>
    <row r="10" spans="1:5" x14ac:dyDescent="0.3">
      <c r="A10" s="132">
        <f t="shared" si="4"/>
        <v>5</v>
      </c>
      <c r="B10" s="132" t="str">
        <f t="shared" si="0"/>
        <v>FINANCE</v>
      </c>
      <c r="C10" s="133" t="str">
        <f t="shared" si="1"/>
        <v>Chukwuemema Buhari</v>
      </c>
      <c r="D10" s="134">
        <f t="shared" si="2"/>
        <v>15014.736075233332</v>
      </c>
      <c r="E10" s="134" t="e">
        <f t="shared" si="3"/>
        <v>#N/A</v>
      </c>
    </row>
    <row r="11" spans="1:5" x14ac:dyDescent="0.3">
      <c r="A11" s="132">
        <f t="shared" si="4"/>
        <v>6</v>
      </c>
      <c r="B11" s="132" t="str">
        <f t="shared" si="0"/>
        <v>FINANCE</v>
      </c>
      <c r="C11" s="133" t="str">
        <f t="shared" si="1"/>
        <v>Prisca John</v>
      </c>
      <c r="D11" s="134">
        <f t="shared" si="2"/>
        <v>29950.666666666668</v>
      </c>
      <c r="E11" s="134" t="e">
        <f t="shared" si="3"/>
        <v>#N/A</v>
      </c>
    </row>
    <row r="12" spans="1:5" x14ac:dyDescent="0.3">
      <c r="A12" s="132">
        <f t="shared" si="4"/>
        <v>7</v>
      </c>
      <c r="B12" s="132" t="str">
        <f t="shared" ref="B12:B17" si="5">VLOOKUP(A12,sec,4,FALSE)</f>
        <v>MARKETING</v>
      </c>
      <c r="C12" s="133" t="str">
        <f t="shared" ref="C12:C17" si="6">VLOOKUP(A12,sec,2,FALSE)</f>
        <v>Bobo Samba</v>
      </c>
      <c r="D12" s="134">
        <f t="shared" ref="D12:D17" si="7">VLOOKUP(A12,sec,27,FALSE)</f>
        <v>15014.736075233332</v>
      </c>
      <c r="E12" s="134" t="e">
        <f t="shared" ref="E12:E17" si="8">VLOOKUP(B12,sec,27,FALSE)</f>
        <v>#N/A</v>
      </c>
    </row>
    <row r="13" spans="1:5" x14ac:dyDescent="0.3">
      <c r="A13" s="132">
        <f t="shared" si="4"/>
        <v>8</v>
      </c>
      <c r="B13" s="132" t="str">
        <f t="shared" si="5"/>
        <v>MARKETING</v>
      </c>
      <c r="C13" s="133" t="str">
        <f t="shared" si="6"/>
        <v>Jimoh Chinedu</v>
      </c>
      <c r="D13" s="134">
        <f t="shared" si="7"/>
        <v>15014.736075233332</v>
      </c>
      <c r="E13" s="134" t="e">
        <f t="shared" si="8"/>
        <v>#N/A</v>
      </c>
    </row>
    <row r="14" spans="1:5" x14ac:dyDescent="0.3">
      <c r="A14" s="132">
        <f t="shared" si="4"/>
        <v>9</v>
      </c>
      <c r="B14" s="132" t="str">
        <f t="shared" si="5"/>
        <v>MARKETING</v>
      </c>
      <c r="C14" s="133" t="str">
        <f t="shared" si="6"/>
        <v>Simon Ibrahim</v>
      </c>
      <c r="D14" s="134">
        <f t="shared" si="7"/>
        <v>15014.736075233332</v>
      </c>
      <c r="E14" s="134" t="e">
        <f t="shared" si="8"/>
        <v>#N/A</v>
      </c>
    </row>
    <row r="15" spans="1:5" x14ac:dyDescent="0.3">
      <c r="A15" s="132">
        <f t="shared" si="4"/>
        <v>10</v>
      </c>
      <c r="B15" s="132" t="str">
        <f t="shared" si="5"/>
        <v>OPERATIONS</v>
      </c>
      <c r="C15" s="133" t="str">
        <f t="shared" si="6"/>
        <v>Amaka Raji</v>
      </c>
      <c r="D15" s="134">
        <f t="shared" si="7"/>
        <v>29950.666666666668</v>
      </c>
      <c r="E15" s="134" t="e">
        <f t="shared" si="8"/>
        <v>#N/A</v>
      </c>
    </row>
    <row r="16" spans="1:5" x14ac:dyDescent="0.3">
      <c r="A16" s="132">
        <f t="shared" si="4"/>
        <v>11</v>
      </c>
      <c r="B16" s="132" t="str">
        <f t="shared" si="5"/>
        <v>OPERATIONS</v>
      </c>
      <c r="C16" s="133" t="str">
        <f t="shared" si="6"/>
        <v>Charles Abubakar</v>
      </c>
      <c r="D16" s="134">
        <f t="shared" si="7"/>
        <v>29950.666666666668</v>
      </c>
      <c r="E16" s="134" t="e">
        <f t="shared" si="8"/>
        <v>#N/A</v>
      </c>
    </row>
    <row r="17" spans="1:5" x14ac:dyDescent="0.3">
      <c r="A17" s="132">
        <f t="shared" si="4"/>
        <v>12</v>
      </c>
      <c r="B17" s="132" t="str">
        <f t="shared" si="5"/>
        <v>OPERATIONS</v>
      </c>
      <c r="C17" s="133" t="str">
        <f t="shared" si="6"/>
        <v>Boma Daudu</v>
      </c>
      <c r="D17" s="134">
        <f t="shared" si="7"/>
        <v>29950.666666666668</v>
      </c>
      <c r="E17" s="134" t="e">
        <f t="shared" si="8"/>
        <v>#N/A</v>
      </c>
    </row>
    <row r="18" spans="1:5" x14ac:dyDescent="0.3">
      <c r="A18" s="132"/>
      <c r="B18" s="132"/>
      <c r="C18" s="133"/>
      <c r="D18" s="134"/>
      <c r="E18" s="134"/>
    </row>
    <row r="19" spans="1:5" x14ac:dyDescent="0.3">
      <c r="A19" s="132"/>
      <c r="B19" s="132"/>
      <c r="C19" s="133"/>
      <c r="D19" s="134"/>
      <c r="E19" s="134"/>
    </row>
    <row r="20" spans="1:5" x14ac:dyDescent="0.3">
      <c r="A20" s="132"/>
      <c r="B20" s="132"/>
      <c r="C20" s="133"/>
      <c r="D20" s="134"/>
      <c r="E20" s="134"/>
    </row>
    <row r="21" spans="1:5" x14ac:dyDescent="0.3">
      <c r="A21" s="132"/>
      <c r="B21" s="132"/>
      <c r="C21" s="133"/>
      <c r="D21" s="134"/>
      <c r="E21" s="134"/>
    </row>
    <row r="22" spans="1:5" x14ac:dyDescent="0.3">
      <c r="A22" s="132"/>
      <c r="B22" s="132"/>
      <c r="C22" s="133"/>
      <c r="D22" s="134"/>
      <c r="E22" s="134"/>
    </row>
    <row r="23" spans="1:5" x14ac:dyDescent="0.3">
      <c r="A23" s="132"/>
      <c r="B23" s="132"/>
      <c r="C23" s="133"/>
      <c r="D23" s="134"/>
      <c r="E23" s="134"/>
    </row>
    <row r="24" spans="1:5" x14ac:dyDescent="0.3">
      <c r="A24" s="132"/>
      <c r="B24" s="132"/>
      <c r="C24" s="133"/>
      <c r="D24" s="134"/>
      <c r="E24" s="134"/>
    </row>
    <row r="25" spans="1:5" x14ac:dyDescent="0.3">
      <c r="A25" s="132"/>
      <c r="B25" s="132"/>
      <c r="C25" s="133"/>
      <c r="D25" s="134"/>
      <c r="E25" s="134"/>
    </row>
    <row r="26" spans="1:5" x14ac:dyDescent="0.3">
      <c r="A26" s="132"/>
      <c r="B26" s="132"/>
      <c r="C26" s="133"/>
      <c r="D26" s="134"/>
      <c r="E26" s="134"/>
    </row>
    <row r="27" spans="1:5" x14ac:dyDescent="0.3">
      <c r="A27" s="132"/>
      <c r="B27" s="132"/>
      <c r="C27" s="133"/>
      <c r="D27" s="134"/>
      <c r="E27" s="134"/>
    </row>
    <row r="28" spans="1:5" x14ac:dyDescent="0.3">
      <c r="A28" s="132"/>
      <c r="B28" s="132"/>
      <c r="C28" s="133"/>
      <c r="D28" s="134"/>
      <c r="E28" s="134"/>
    </row>
    <row r="29" spans="1:5" x14ac:dyDescent="0.3">
      <c r="A29" s="132"/>
      <c r="B29" s="132"/>
      <c r="C29" s="133"/>
      <c r="D29" s="134"/>
      <c r="E29" s="134"/>
    </row>
    <row r="30" spans="1:5" ht="19.5" thickBot="1" x14ac:dyDescent="0.35">
      <c r="A30" s="135"/>
      <c r="B30" s="135"/>
      <c r="C30" s="135"/>
      <c r="D30" s="136"/>
      <c r="E30" s="136"/>
    </row>
    <row r="31" spans="1:5" ht="19.5" thickBot="1" x14ac:dyDescent="0.35">
      <c r="A31" s="137"/>
      <c r="B31" s="137"/>
      <c r="C31" s="138" t="s">
        <v>108</v>
      </c>
      <c r="D31" s="139">
        <f>SUM(D6:D30)</f>
        <v>261604.4318632076</v>
      </c>
      <c r="E31" s="140"/>
    </row>
    <row r="32" spans="1:5" ht="19.5" thickTop="1" x14ac:dyDescent="0.3"/>
  </sheetData>
  <pageMargins left="0.7" right="0.7" top="0.75" bottom="0.75" header="0.3" footer="0.3"/>
  <pageSetup scale="91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SAMPLE PAYE COMPUTATION</vt:lpstr>
      <vt:lpstr>SUMMARY</vt:lpstr>
      <vt:lpstr>MONTHLY PAYROLL</vt:lpstr>
      <vt:lpstr>ANNUAL PAYROLL-MASTER</vt:lpstr>
      <vt:lpstr>TO BANK</vt:lpstr>
      <vt:lpstr>SEC PAYSLIP</vt:lpstr>
      <vt:lpstr>RULE</vt:lpstr>
      <vt:lpstr>PENSION</vt:lpstr>
      <vt:lpstr>PAYE</vt:lpstr>
      <vt:lpstr>NSITF</vt:lpstr>
      <vt:lpstr>MA</vt:lpstr>
      <vt:lpstr>MO</vt:lpstr>
      <vt:lpstr>'MONTHLY PAYROLL'!Print_Area</vt:lpstr>
      <vt:lpstr>NSITF!Print_Area</vt:lpstr>
      <vt:lpstr>'TO BANK'!Print_Area</vt:lpstr>
      <vt:lpstr>sec</vt:lpstr>
      <vt:lpstr>SECA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 User</dc:creator>
  <cp:lastModifiedBy>HP</cp:lastModifiedBy>
  <cp:lastPrinted>2017-06-01T16:41:00Z</cp:lastPrinted>
  <dcterms:created xsi:type="dcterms:W3CDTF">2016-07-03T19:37:54Z</dcterms:created>
  <dcterms:modified xsi:type="dcterms:W3CDTF">2020-12-24T19:10:13Z</dcterms:modified>
</cp:coreProperties>
</file>